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9020" windowHeight="12408" activeTab="0"/>
  </bookViews>
  <sheets>
    <sheet name="Viscosity of slurries" sheetId="1" r:id="rId1"/>
    <sheet name="Ref 2. SSHB. Newtonian slurries" sheetId="2" r:id="rId2"/>
    <sheet name="Ref 1 JRI" sheetId="3" state="hidden" r:id="rId3"/>
    <sheet name="Water Data" sheetId="4" state="hidden" r:id="rId4"/>
    <sheet name="Ref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<sst xmlns="http://schemas.openxmlformats.org/spreadsheetml/2006/main" count="370" uniqueCount="188">
  <si>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</si>
  <si>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: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</si>
  <si>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:</t>
    </r>
  </si>
  <si>
    <t>Absolute viscosity of fluid (water)</t>
  </si>
  <si>
    <t xml:space="preserve">Concentration by volume </t>
  </si>
  <si>
    <t>°/1</t>
  </si>
  <si>
    <t>t =</t>
  </si>
  <si>
    <t>°C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</si>
  <si>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</si>
  <si>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Pa s</t>
  </si>
  <si>
    <t>Fórmula de Thomas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</si>
  <si>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: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</si>
  <si>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</si>
  <si>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(1+2.5*Cv + 10.05*Cv^2+0.00273*Exp(16.6*Cv) ) </t>
    </r>
  </si>
  <si>
    <t>Fórmula de Wellman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</si>
  <si>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Exp(-10.4*Cv) / (1-Cv/0.62 )^8 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</si>
  <si>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</si>
  <si>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</si>
  <si>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%</t>
  </si>
  <si>
    <t>Water properties (fluid f)</t>
  </si>
  <si>
    <t>[1]</t>
  </si>
  <si>
    <t>Curso de transporte hidraulico de solidos</t>
  </si>
  <si>
    <t>Tecnex (JR)</t>
  </si>
  <si>
    <t>JRI</t>
  </si>
  <si>
    <t>Curso de transporte de sólidos</t>
  </si>
  <si>
    <t>Tenex</t>
  </si>
  <si>
    <t>Octubre 1993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</si>
  <si>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</si>
  <si>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</si>
  <si>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</si>
  <si>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t/m</t>
    </r>
    <r>
      <rPr>
        <vertAlign val="super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</si>
  <si>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</si>
  <si>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</si>
  <si>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1-5-1 Absolute (or Dynamic) Viscosity of Mixtures with Volume</t>
  </si>
  <si>
    <t>Concentration Smaller Than 1%</t>
  </si>
  <si>
    <t>where</t>
  </si>
  <si>
    <t>This is a very simple equation that is based on the following assumptions:</t>
  </si>
  <si>
    <t>Such a flow is not encountered, except in laminar regimes of very dilute concentrations</t>
  </si>
  <si>
    <t>(below a volume concentration of 1%).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</si>
  <si>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absolute (or dynamic) viscosity of the slurry mixture</t>
    </r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</si>
  <si>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absolute (or dynamic) viscosity of the carrying liquid</t>
    </r>
  </si>
  <si>
    <t xml:space="preserve"> - Particles are fairly rigid</t>
  </si>
  <si>
    <t>1-5-3 Absolute (or Dynamic) Viscosity of Mixtures with High</t>
  </si>
  <si>
    <t>Volume Concentration of Solids</t>
  </si>
  <si>
    <t>K2 = 10.05</t>
  </si>
  <si>
    <t>A = 0.00273</t>
  </si>
  <si>
    <t>B = 16.6</t>
  </si>
  <si>
    <t>mixtures of a Newtonian rheology.</t>
  </si>
  <si>
    <t>1-5-2 Absolute (or Dynamic) Viscosity of Mixtures with Solids</t>
  </si>
  <si>
    <t>with Volume Concentration Smaller than 20%</t>
  </si>
  <si>
    <t>where K1, K2, K3, and K4 are constants</t>
  </si>
  <si>
    <t>[2]</t>
  </si>
  <si>
    <t>Slurry systems handbook</t>
  </si>
  <si>
    <t>Viscosity</t>
  </si>
  <si>
    <t>1-5 DYNAMIC VISCOSITY OF A NEWTONIAN SLURRY MIXTURE</t>
  </si>
  <si>
    <t xml:space="preserve"> </t>
  </si>
  <si>
    <r>
      <t xml:space="preserve">1-1-4 </t>
    </r>
    <r>
      <rPr>
        <b/>
        <sz val="10"/>
        <color indexed="12"/>
        <rFont val="Arial"/>
        <family val="2"/>
      </rPr>
      <t>Plasticity of Soils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</si>
  <si>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</t>
    </r>
  </si>
  <si>
    <t>SSHB (1-7)</t>
  </si>
  <si>
    <t xml:space="preserve">Valid for  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</si>
  <si>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1 %</t>
    </r>
  </si>
  <si>
    <t>Einstein formula</t>
  </si>
  <si>
    <t xml:space="preserve"> - The mixture is fairly dilute and there is no interaction between the particles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</si>
  <si>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</si>
  <si>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SSHB (1-8)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</si>
  <si>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20 %</t>
    </r>
  </si>
  <si>
    <t>Thomas (1965) formula</t>
  </si>
  <si>
    <r>
      <t>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and 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are zero for Cv &lt; 20 %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</si>
  <si>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is in the range 10.05 to 14.1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</si>
  <si>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</si>
  <si>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</t>
    </r>
  </si>
  <si>
    <t>A =</t>
  </si>
  <si>
    <t>B =</t>
  </si>
  <si>
    <t>SSHB (1-9)</t>
  </si>
  <si>
    <r>
      <t>1 +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 +A * Exp(B*(C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 )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</si>
  <si>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</si>
  <si>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the slurry industry for heterogeneous</t>
  </si>
  <si>
    <t xml:space="preserve">Equation 1-9  is widely accepted in </t>
  </si>
  <si>
    <t xml:space="preserve">Although density is essentially a static property, absolute (or dynamic) viscosity </t>
  </si>
  <si>
    <t xml:space="preserve">is a dynamic property and tends to reduce in magnitude as the shear rate in a </t>
  </si>
  <si>
    <t xml:space="preserve">pipeline increases. Thus, engineers have had to define different forms of viscosity </t>
  </si>
  <si>
    <t xml:space="preserve">over the years, everything from dynamic viscosity, to kinematic viscosity, to </t>
  </si>
  <si>
    <t xml:space="preserve">effective pipeline viscosity. </t>
  </si>
  <si>
    <r>
      <t>The effective pipeline viscosity</t>
    </r>
    <r>
      <rPr>
        <sz val="10"/>
        <rFont val="Arial"/>
        <family val="2"/>
      </rPr>
      <t xml:space="preserve"> will be discussed in detail in Chapters 3, 4, </t>
    </r>
  </si>
  <si>
    <t xml:space="preserve">and 5. In this chapter, the reader is introduced to basic concepts of the mixture of </t>
  </si>
  <si>
    <t xml:space="preserve">slurry in a stationary state. This is effectively what the pump, or a mixer, might </t>
  </si>
  <si>
    <t xml:space="preserve">see at the start-up of a plant. As is often the case, when the driver cannot deliver </t>
  </si>
  <si>
    <t xml:space="preserve">enough torque to overcome the absolute (or dynamic) viscosity, the operator is </t>
  </si>
  <si>
    <t>forced to dilute the slurry mixture.</t>
  </si>
  <si>
    <r>
      <t>Plasticity</t>
    </r>
    <r>
      <rPr>
        <sz val="10"/>
        <rFont val="Arial"/>
        <family val="2"/>
      </rPr>
      <t xml:space="preserve"> as defined in Section 1-1-4 is an important parameter in determining </t>
    </r>
  </si>
  <si>
    <t xml:space="preserve">overall absolute (or dynamic) viscosity of a mixture of clay and water. There are, </t>
  </si>
  <si>
    <t xml:space="preserve">however, numerous soils in nature, such as sand and water or gravel and water, in </t>
  </si>
  <si>
    <t xml:space="preserve">which the solids contribute little to the overall absolute (or dynamic) viscosity, </t>
  </si>
  <si>
    <t>except in terms of their concentration by volume.</t>
  </si>
  <si>
    <t xml:space="preserve">For such solid–liquid mixtures in diluted form, Einstein developed the following </t>
  </si>
  <si>
    <t xml:space="preserve">formula for a linear relationship between absolute (or dynamic) viscosity and </t>
  </si>
  <si>
    <t>volume concentration:</t>
  </si>
  <si>
    <t xml:space="preserve">Such a flow is not encountered, except in laminar regimes of very dilute </t>
  </si>
  <si>
    <t>concentrations (below a volume concentration of 1%).</t>
  </si>
  <si>
    <t xml:space="preserve">Thomas (1965) took the equation of Einstein further by calculating for higher </t>
  </si>
  <si>
    <t>volumetric concentrations of Newtonian mixtures:</t>
  </si>
  <si>
    <t xml:space="preserve">K1 is the Einstein constant of 2.5 (from Equation 1-7), and K2 has been found to </t>
  </si>
  <si>
    <t xml:space="preserve">be in the range of 10.05–14.1 according to Guth and Simha (1936). It is difficult to </t>
  </si>
  <si>
    <t xml:space="preserve">extrapolate the higher terms K3 and K4 in Equation 1-8. They are ignored with </t>
  </si>
  <si>
    <t>volumetric concentrations smaller than 20%.</t>
  </si>
  <si>
    <t>For higher concentrations, Thomas (1965) proposed the following equation with an</t>
  </si>
  <si>
    <t>exponential function:</t>
  </si>
  <si>
    <t xml:space="preserve">Figure 1-9 is based on Equation 1-9 and is widely accepted in the slurry industry </t>
  </si>
  <si>
    <t>for  heterogeneous mixtures of a Newtonian rheology.</t>
  </si>
  <si>
    <t xml:space="preserve">For clays and silts, an additional test for the liquid limit (LL) and the plastic limit </t>
  </si>
  <si>
    <t>(PL) are recommended.</t>
  </si>
  <si>
    <r>
      <t xml:space="preserve">The </t>
    </r>
    <r>
      <rPr>
        <b/>
        <sz val="10"/>
        <color indexed="12"/>
        <rFont val="Arial"/>
        <family val="2"/>
      </rPr>
      <t>liquid limit</t>
    </r>
    <r>
      <rPr>
        <sz val="10"/>
        <rFont val="Arial"/>
        <family val="2"/>
      </rPr>
      <t xml:space="preserve"> is defined as the moisture content in soil above which it starts to </t>
    </r>
  </si>
  <si>
    <t xml:space="preserve">act as a liquid and below which it acts as a plastic. To conduct a test, a sample of </t>
  </si>
  <si>
    <t xml:space="preserve">clay is thoroughly mixed with water in a brass cup. The number of bumps required </t>
  </si>
  <si>
    <t xml:space="preserve">to close a groove cut in the pot of clay in the cup is then measured. This test is </t>
  </si>
  <si>
    <t>called the Atterberg test.</t>
  </si>
  <si>
    <r>
      <t xml:space="preserve">The </t>
    </r>
    <r>
      <rPr>
        <b/>
        <sz val="10"/>
        <color indexed="12"/>
        <rFont val="Arial"/>
        <family val="2"/>
      </rPr>
      <t>plastic limit</t>
    </r>
    <r>
      <rPr>
        <sz val="10"/>
        <rFont val="Arial"/>
        <family val="2"/>
      </rPr>
      <t xml:space="preserve"> is defined as the limit below which the clay will stop behaving as </t>
    </r>
  </si>
  <si>
    <t xml:space="preserve">a plastic and will start to crumble. To measure such a limit, a sample of the soil is </t>
  </si>
  <si>
    <t xml:space="preserve">formed into a tubular shape with a diameter of 3.2 mm (0.125 in) and the water </t>
  </si>
  <si>
    <t>content is measured when the cylinder ceases to roll and becomes friable.</t>
  </si>
  <si>
    <t>JRI (2.2.3.a)</t>
  </si>
  <si>
    <t>Wellman(1977) formula</t>
  </si>
  <si>
    <t xml:space="preserve"> Exp(-10.4*(Cv/100)) / (1-(Cv/100)/0.62 )^8 </t>
  </si>
  <si>
    <t>Fórmula Thomas (1965)</t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</si>
  <si>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</si>
  <si>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For water as the liquid</t>
  </si>
  <si>
    <t>Volumetric concentration</t>
  </si>
  <si>
    <t>Ratio of viscosities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</si>
  <si>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</si>
  <si>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(1+2.5*Cv + 10.05*Cv^2+0.00273*Exp(16.6*Cv) ) </t>
  </si>
  <si>
    <t xml:space="preserve"> Exp(-10.4*Cv) / (1-Cv/0.62 )^8 </t>
  </si>
  <si>
    <r>
      <t>1 + 2.5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 xml:space="preserve"> /100) +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/100)^2</t>
    </r>
  </si>
  <si>
    <r>
      <t>C</t>
    </r>
    <r>
      <rPr>
        <b/>
        <vertAlign val="subscript"/>
        <sz val="10"/>
        <color indexed="10"/>
        <rFont val="Arial"/>
        <family val="2"/>
      </rPr>
      <t>v</t>
    </r>
    <r>
      <rPr>
        <b/>
        <sz val="10"/>
        <color indexed="10"/>
        <rFont val="Arial"/>
        <family val="2"/>
      </rPr>
      <t xml:space="preserve"> &lt; 20 %</t>
    </r>
  </si>
  <si>
    <t>SVR =</t>
  </si>
  <si>
    <t>Cv</t>
  </si>
  <si>
    <t>SVR</t>
  </si>
  <si>
    <t>This equation is widely accepted in the slurry industry for heterogeneous mixtures of a Newtonian rheology.</t>
  </si>
  <si>
    <t>SlurryAbsViscosityRatio_SVR_Cv(I48)</t>
  </si>
  <si>
    <t>Absolute viscosity of pulp</t>
  </si>
  <si>
    <t>ºC</t>
  </si>
  <si>
    <t>W/(m*K)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</si>
  <si>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</si>
  <si>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</si>
  <si>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</si>
  <si>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</si>
  <si>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</si>
  <si>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</si>
  <si>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n</t>
  </si>
  <si>
    <t>a</t>
  </si>
  <si>
    <t>Psat</t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</si>
  <si>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</si>
  <si>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</si>
  <si>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</si>
  <si>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</si>
  <si>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</si>
  <si>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</si>
  <si>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</si>
  <si>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Data</t>
  </si>
  <si>
    <r>
      <rPr>
        <sz val="9"/>
        <rFont val="Symbol"/>
        <family val="1"/>
      </rPr>
      <t>m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=SaturatedWaterAbsoluteViscosity_t</t>
    </r>
  </si>
  <si>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</si>
  <si>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t>Volume concentration</t>
  </si>
  <si>
    <t>Viscosity of slurries</t>
  </si>
  <si>
    <t>Pulp density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</si>
  <si>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</si>
  <si>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( 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(1-Cw) * 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)  </t>
    </r>
  </si>
  <si>
    <t xml:space="preserve"> -</t>
  </si>
  <si>
    <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</si>
  <si>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t/m³</t>
  </si>
  <si>
    <t>Pulp dynamic viscosity</t>
  </si>
  <si>
    <t>Pulp kinematic viscosity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</si>
  <si>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</si>
  <si>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</si>
  <si>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m²/s</t>
  </si>
  <si>
    <t>Water dynamic viscosity</t>
  </si>
  <si>
    <r>
      <t xml:space="preserve">  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1/ (1 +((100-C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)*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)</t>
    </r>
  </si>
  <si>
    <r>
      <t>(m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) * </t>
    </r>
    <r>
      <rPr>
        <sz val="10"/>
        <rFont val="Symbol"/>
        <family val="1"/>
      </rPr>
      <t>m</t>
    </r>
    <r>
      <rPr>
        <sz val="10"/>
        <rFont val="Arial"/>
        <family val="2"/>
      </rPr>
      <t>w</t>
    </r>
  </si>
  <si>
    <r>
      <t>kg/m</t>
    </r>
    <r>
      <rPr>
        <vertAlign val="superscript"/>
        <sz val="10"/>
        <rFont val="Arial"/>
        <family val="2"/>
      </rPr>
      <t>3</t>
    </r>
  </si>
  <si>
    <t>Cw =</t>
  </si>
  <si>
    <t>Ss =</t>
  </si>
  <si>
    <t>kg/m³</t>
  </si>
  <si>
    <t>Kinematic viscosity using the function</t>
  </si>
  <si>
    <r>
      <rPr>
        <sz val="6"/>
        <rFont val="Symbol"/>
        <family val="1"/>
      </rPr>
      <t>n</t>
    </r>
    <r>
      <rPr>
        <vertAlign val="subscript"/>
        <sz val="6"/>
        <rFont val="Arial"/>
        <family val="2"/>
      </rPr>
      <t>P</t>
    </r>
    <r>
      <rPr>
        <sz val="6"/>
        <rFont val="Arial"/>
        <family val="2"/>
      </rPr>
      <t>=Slurry_Kinem_Visc_Thomas_Cw_Ss_RhoL_t(Cw, Ss, RhoL, t)</t>
    </r>
  </si>
  <si>
    <t>www.piping-tools.net</t>
  </si>
  <si>
    <t>cjcruz[at]piping-tools.net</t>
  </si>
  <si>
    <t>Viscosity ratio of slurries</t>
  </si>
  <si>
    <t>Rev. cjc. 10.08.2016</t>
  </si>
  <si>
    <t>(Thomas)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</si>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</sst>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00"/>
    <numFmt numFmtId="168" formatCode="#,##0.0000"/>
    <numFmt numFmtId="169" formatCode="0.0000"/>
    <numFmt numFmtId="170" formatCode="0.000E+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9"/>
      <name val="Symbol"/>
      <family val="1"/>
    </font>
    <font>
      <sz val="7"/>
      <name val="Arial"/>
      <family val="2"/>
    </font>
    <font>
      <sz val="6"/>
      <name val="Arial"/>
      <family val="2"/>
    </font>
    <font>
      <sz val="6"/>
      <name val="Symbol"/>
      <family val="1"/>
    </font>
    <font>
      <vertAlign val="subscript"/>
      <sz val="6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40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u val="single"/>
      <sz val="8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64" fontId="0" fillId="0" borderId="14" xfId="0" applyNumberFormat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11" fontId="0" fillId="0" borderId="14" xfId="0" applyNumberFormat="1" applyFont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34" borderId="0" xfId="0" applyNumberFormat="1" applyFill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1" fontId="0" fillId="33" borderId="20" xfId="0" applyNumberFormat="1" applyFill="1" applyBorder="1" applyAlignment="1">
      <alignment horizontal="center"/>
    </xf>
    <xf numFmtId="169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169" fontId="0" fillId="33" borderId="25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11" fontId="0" fillId="33" borderId="27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69" fontId="0" fillId="33" borderId="2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6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166" fontId="0" fillId="33" borderId="42" xfId="0" applyNumberFormat="1" applyFont="1" applyFill="1" applyBorder="1" applyAlignment="1">
      <alignment horizontal="center" vertical="center"/>
    </xf>
    <xf numFmtId="165" fontId="0" fillId="33" borderId="42" xfId="0" applyNumberFormat="1" applyFont="1" applyFill="1" applyBorder="1" applyAlignment="1">
      <alignment horizontal="center" vertical="center"/>
    </xf>
    <xf numFmtId="168" fontId="0" fillId="37" borderId="42" xfId="0" applyNumberFormat="1" applyFont="1" applyFill="1" applyBorder="1" applyAlignment="1">
      <alignment horizontal="center" vertical="center"/>
    </xf>
    <xf numFmtId="2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0" fillId="0" borderId="34" xfId="0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167" fontId="0" fillId="0" borderId="34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167" fontId="10" fillId="0" borderId="34" xfId="0" applyNumberFormat="1" applyFont="1" applyBorder="1" applyAlignment="1">
      <alignment horizontal="left" vertical="center"/>
    </xf>
    <xf numFmtId="167" fontId="0" fillId="0" borderId="3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52" applyFont="1" applyAlignment="1">
      <alignment vertical="center"/>
    </xf>
    <xf numFmtId="0" fontId="0" fillId="0" borderId="36" xfId="0" applyFont="1" applyBorder="1" applyAlignment="1">
      <alignment vertical="center"/>
    </xf>
    <xf numFmtId="2" fontId="0" fillId="37" borderId="4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Slurry abs. viscosity ratio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75"/>
          <c:w val="0.78075"/>
          <c:h val="0.7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 2. SSHB. Newtonian slurries'!$I$38:$I$49</c:f>
              <c:numCache/>
            </c:numRef>
          </c:xVal>
          <c:yVal>
            <c:numRef>
              <c:f>'Ref 2. SSHB. Newtonian slurries'!$J$38:$J$49</c:f>
              <c:numCache/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concentration Cv  [%]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SVR   [-]   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15"/>
          <c:w val="0.126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85725</xdr:rowOff>
    </xdr:from>
    <xdr:to>
      <xdr:col>6</xdr:col>
      <xdr:colOff>314325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48325"/>
          <a:ext cx="416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104775</xdr:rowOff>
    </xdr:from>
    <xdr:to>
      <xdr:col>6</xdr:col>
      <xdr:colOff>723900</xdr:colOff>
      <xdr:row>58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286875"/>
          <a:ext cx="454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6</xdr:col>
      <xdr:colOff>762000</xdr:colOff>
      <xdr:row>77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461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</xdr:row>
      <xdr:rowOff>38100</xdr:rowOff>
    </xdr:from>
    <xdr:to>
      <xdr:col>17</xdr:col>
      <xdr:colOff>66675</xdr:colOff>
      <xdr:row>56</xdr:row>
      <xdr:rowOff>28575</xdr:rowOff>
    </xdr:to>
    <xdr:graphicFrame>
      <xdr:nvGraphicFramePr>
        <xdr:cNvPr id="4" name="Gráfico 7"/>
        <xdr:cNvGraphicFramePr/>
      </xdr:nvGraphicFramePr>
      <xdr:xfrm>
        <a:off x="7372350" y="6410325"/>
        <a:ext cx="53721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7</xdr:col>
      <xdr:colOff>447675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4714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485775</xdr:colOff>
      <xdr:row>58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59721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28</xdr:row>
      <xdr:rowOff>85725</xdr:rowOff>
    </xdr:from>
    <xdr:to>
      <xdr:col>18</xdr:col>
      <xdr:colOff>0</xdr:colOff>
      <xdr:row>28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00025" y="4829175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19050</xdr:rowOff>
    </xdr:from>
    <xdr:to>
      <xdr:col>17</xdr:col>
      <xdr:colOff>666750</xdr:colOff>
      <xdr:row>18</xdr:row>
      <xdr:rowOff>19050</xdr:rowOff>
    </xdr:to>
    <xdr:sp>
      <xdr:nvSpPr>
        <xdr:cNvPr id="4" name="Line 5"/>
        <xdr:cNvSpPr>
          <a:spLocks/>
        </xdr:cNvSpPr>
      </xdr:nvSpPr>
      <xdr:spPr>
        <a:xfrm>
          <a:off x="180975" y="2933700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95250</xdr:rowOff>
    </xdr:from>
    <xdr:to>
      <xdr:col>17</xdr:col>
      <xdr:colOff>666750</xdr:colOff>
      <xdr:row>35</xdr:row>
      <xdr:rowOff>95250</xdr:rowOff>
    </xdr:to>
    <xdr:sp>
      <xdr:nvSpPr>
        <xdr:cNvPr id="5" name="Line 6"/>
        <xdr:cNvSpPr>
          <a:spLocks/>
        </xdr:cNvSpPr>
      </xdr:nvSpPr>
      <xdr:spPr>
        <a:xfrm>
          <a:off x="161925" y="6105525"/>
          <a:ext cx="1132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S26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2.8515625" style="1" customWidth="1"/>
    <col min="2" max="2" width="9.140625" style="1" customWidth="1"/>
    <col min="3" max="3" width="12.421875" style="1" bestFit="1" customWidth="1"/>
    <col min="4" max="7" width="9.140625" style="1" customWidth="1"/>
    <col min="8" max="8" width="9.7109375" style="1" customWidth="1"/>
    <col min="9" max="9" width="9.140625" style="1" customWidth="1"/>
    <col min="10" max="10" width="12.421875" style="1" bestFit="1" customWidth="1"/>
    <col min="11" max="12" width="9.140625" style="1" customWidth="1"/>
    <col min="13" max="13" width="10.57421875" style="1" customWidth="1"/>
    <col min="14" max="14" width="15.421875" style="1" customWidth="1"/>
    <col min="15" max="15" width="4.57421875" style="1" customWidth="1"/>
    <col min="16" max="20" width="9.140625" style="1" customWidth="1"/>
    <col min="21" max="21" width="13.7109375" style="1" customWidth="1"/>
    <col min="22" max="16384" width="9.140625" style="1" customWidth="1"/>
  </cols>
  <sheetData>
    <row r="1" ht="13.5" thickBot="1">
      <c r="O1" s="157" t="s">
        <v>185</v>
      </c>
    </row>
    <row r="2" spans="2:15" ht="13.5" thickTop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8"/>
    </row>
    <row r="3" spans="2:15" ht="12.75">
      <c r="B3" s="183"/>
      <c r="C3" s="125" t="s">
        <v>161</v>
      </c>
      <c r="D3" s="6"/>
      <c r="E3" s="6" t="s">
        <v>20</v>
      </c>
      <c r="F3" s="6" t="s">
        <v>66</v>
      </c>
      <c r="G3" s="6"/>
      <c r="H3" s="6"/>
      <c r="I3" s="6"/>
      <c r="J3" s="6"/>
      <c r="K3" s="6"/>
      <c r="L3" s="6"/>
      <c r="M3" s="6"/>
      <c r="N3" s="6"/>
      <c r="O3" s="189"/>
    </row>
    <row r="4" spans="2:15" ht="12.75">
      <c r="B4" s="183"/>
      <c r="C4" s="12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89"/>
    </row>
    <row r="5" spans="2:15" ht="12.75">
      <c r="B5" s="183"/>
      <c r="C5" s="168" t="s">
        <v>157</v>
      </c>
      <c r="D5" s="144"/>
      <c r="E5" s="146"/>
      <c r="F5" s="6"/>
      <c r="G5" s="168" t="s">
        <v>127</v>
      </c>
      <c r="H5" s="144"/>
      <c r="I5" s="193" t="s">
        <v>186</v>
      </c>
      <c r="J5" s="146"/>
      <c r="K5" s="6"/>
      <c r="L5" s="143" t="s">
        <v>169</v>
      </c>
      <c r="M5" s="144"/>
      <c r="N5" s="146"/>
      <c r="O5" s="189"/>
    </row>
    <row r="6" spans="2:15" ht="15">
      <c r="B6" s="183"/>
      <c r="C6" s="142" t="s">
        <v>6</v>
      </c>
      <c r="D6" s="150">
        <v>32</v>
      </c>
      <c r="E6" s="147" t="s">
        <v>7</v>
      </c>
      <c r="F6" s="6"/>
      <c r="G6" s="167" t="s">
        <v>128</v>
      </c>
      <c r="H6" s="126" t="s">
        <v>129</v>
      </c>
      <c r="I6" s="6"/>
      <c r="J6" s="147"/>
      <c r="K6" s="6"/>
      <c r="L6" s="166" t="s">
        <v>171</v>
      </c>
      <c r="M6" s="120" t="s">
        <v>170</v>
      </c>
      <c r="N6" s="147"/>
      <c r="O6" s="189"/>
    </row>
    <row r="7" spans="2:15" ht="15">
      <c r="B7" s="183"/>
      <c r="C7" s="142" t="s">
        <v>32</v>
      </c>
      <c r="D7" s="151">
        <v>35</v>
      </c>
      <c r="E7" s="148" t="s">
        <v>18</v>
      </c>
      <c r="F7" s="6"/>
      <c r="G7" s="142" t="s">
        <v>12</v>
      </c>
      <c r="H7" s="127">
        <f>D17</f>
        <v>0.1657589391427895</v>
      </c>
      <c r="I7" s="5" t="s">
        <v>165</v>
      </c>
      <c r="J7" s="147"/>
      <c r="K7" s="6"/>
      <c r="L7" s="166" t="s">
        <v>0</v>
      </c>
      <c r="M7" s="20">
        <f>H15</f>
        <v>0.0013290629130913807</v>
      </c>
      <c r="N7" s="148" t="s">
        <v>9</v>
      </c>
      <c r="O7" s="189"/>
    </row>
    <row r="8" spans="2:15" ht="15">
      <c r="B8" s="183"/>
      <c r="C8" s="167" t="s">
        <v>17</v>
      </c>
      <c r="D8" s="152">
        <v>2.71</v>
      </c>
      <c r="E8" s="181" t="s">
        <v>30</v>
      </c>
      <c r="F8" s="6"/>
      <c r="G8" s="145" t="s">
        <v>128</v>
      </c>
      <c r="H8" s="154">
        <f>(1+2.5*H7+10.05*H7^2+0.00273*EXP(16.6*H7))</f>
        <v>1.7333041060864485</v>
      </c>
      <c r="I8" s="169"/>
      <c r="J8" s="170"/>
      <c r="K8" s="6"/>
      <c r="L8" s="167" t="s">
        <v>163</v>
      </c>
      <c r="M8" s="53">
        <f>H22*1000</f>
        <v>1283.44778593417</v>
      </c>
      <c r="N8" s="148" t="s">
        <v>176</v>
      </c>
      <c r="O8" s="189"/>
    </row>
    <row r="9" spans="2:15" ht="15">
      <c r="B9" s="183"/>
      <c r="C9" s="173" t="s">
        <v>16</v>
      </c>
      <c r="D9" s="152">
        <v>1</v>
      </c>
      <c r="E9" s="182" t="s">
        <v>30</v>
      </c>
      <c r="F9" s="6"/>
      <c r="G9" s="6" t="s">
        <v>55</v>
      </c>
      <c r="H9" s="16" t="s">
        <v>55</v>
      </c>
      <c r="I9" s="6"/>
      <c r="J9" s="6"/>
      <c r="K9" s="6"/>
      <c r="L9" s="145" t="s">
        <v>171</v>
      </c>
      <c r="M9" s="155">
        <f>M7/M8</f>
        <v>1.0355410852370665E-06</v>
      </c>
      <c r="N9" s="149" t="s">
        <v>172</v>
      </c>
      <c r="O9" s="189"/>
    </row>
    <row r="10" spans="2:15" ht="12.75">
      <c r="B10" s="183"/>
      <c r="C10" s="6"/>
      <c r="D10" s="6"/>
      <c r="E10" s="6"/>
      <c r="F10" s="6"/>
      <c r="G10" s="6"/>
      <c r="H10" s="6"/>
      <c r="I10" s="6"/>
      <c r="J10" s="6"/>
      <c r="K10" s="6"/>
      <c r="L10" s="6"/>
      <c r="M10" s="16"/>
      <c r="N10" s="6"/>
      <c r="O10" s="189"/>
    </row>
    <row r="11" spans="2:15" ht="12.75">
      <c r="B11" s="183"/>
      <c r="C11" s="6"/>
      <c r="D11" s="6"/>
      <c r="E11" s="6"/>
      <c r="F11" s="6"/>
      <c r="G11" s="143" t="s">
        <v>168</v>
      </c>
      <c r="H11" s="144"/>
      <c r="I11" s="144"/>
      <c r="J11" s="146"/>
      <c r="K11" s="6"/>
      <c r="L11" s="143" t="s">
        <v>180</v>
      </c>
      <c r="M11" s="144"/>
      <c r="N11" s="146"/>
      <c r="O11" s="189"/>
    </row>
    <row r="12" spans="2:15" ht="15">
      <c r="B12" s="183"/>
      <c r="C12" s="179" t="s">
        <v>160</v>
      </c>
      <c r="D12" s="144"/>
      <c r="E12" s="146"/>
      <c r="F12" s="6"/>
      <c r="G12" s="166" t="s">
        <v>0</v>
      </c>
      <c r="H12" s="128" t="s">
        <v>175</v>
      </c>
      <c r="I12" s="121"/>
      <c r="J12" s="147"/>
      <c r="K12" s="6"/>
      <c r="L12" s="141" t="s">
        <v>181</v>
      </c>
      <c r="M12" s="6"/>
      <c r="N12" s="147"/>
      <c r="O12" s="189"/>
    </row>
    <row r="13" spans="2:19" ht="15">
      <c r="B13" s="183"/>
      <c r="C13" s="178" t="s">
        <v>174</v>
      </c>
      <c r="D13" s="5"/>
      <c r="E13" s="148"/>
      <c r="F13" s="16"/>
      <c r="G13" s="166" t="s">
        <v>128</v>
      </c>
      <c r="H13" s="122">
        <f>H8</f>
        <v>1.7333041060864485</v>
      </c>
      <c r="I13" s="121"/>
      <c r="J13" s="147"/>
      <c r="K13" s="6"/>
      <c r="L13" s="142" t="s">
        <v>177</v>
      </c>
      <c r="M13" s="16">
        <f>D7/100</f>
        <v>0.35</v>
      </c>
      <c r="N13" s="148" t="s">
        <v>165</v>
      </c>
      <c r="O13" s="189"/>
      <c r="S13" s="6"/>
    </row>
    <row r="14" spans="2:15" ht="15">
      <c r="B14" s="183"/>
      <c r="C14" s="142" t="s">
        <v>28</v>
      </c>
      <c r="D14" s="118">
        <f>D7</f>
        <v>35</v>
      </c>
      <c r="E14" s="147" t="s">
        <v>18</v>
      </c>
      <c r="F14" s="16"/>
      <c r="G14" s="171" t="s">
        <v>159</v>
      </c>
      <c r="H14" s="123">
        <f>D23</f>
        <v>0.0007667799945920706</v>
      </c>
      <c r="I14" s="121" t="s">
        <v>9</v>
      </c>
      <c r="J14" s="147"/>
      <c r="K14" s="6"/>
      <c r="L14" s="142" t="s">
        <v>178</v>
      </c>
      <c r="M14" s="16">
        <f>D8/1</f>
        <v>2.71</v>
      </c>
      <c r="N14" s="148" t="s">
        <v>165</v>
      </c>
      <c r="O14" s="189"/>
    </row>
    <row r="15" spans="2:15" ht="15">
      <c r="B15" s="183"/>
      <c r="C15" s="167" t="s">
        <v>29</v>
      </c>
      <c r="D15" s="119">
        <f>D8</f>
        <v>2.71</v>
      </c>
      <c r="E15" s="147" t="s">
        <v>30</v>
      </c>
      <c r="F15" s="16"/>
      <c r="G15" s="145" t="s">
        <v>0</v>
      </c>
      <c r="H15" s="153">
        <f>H13*H14</f>
        <v>0.0013290629130913807</v>
      </c>
      <c r="I15" s="172" t="s">
        <v>9</v>
      </c>
      <c r="J15" s="170"/>
      <c r="K15" s="6"/>
      <c r="L15" s="142" t="s">
        <v>187</v>
      </c>
      <c r="M15" s="16">
        <v>1000</v>
      </c>
      <c r="N15" s="148" t="s">
        <v>179</v>
      </c>
      <c r="O15" s="189"/>
    </row>
    <row r="16" spans="2:15" ht="15">
      <c r="B16" s="183"/>
      <c r="C16" s="167" t="s">
        <v>31</v>
      </c>
      <c r="D16" s="119">
        <f>D9</f>
        <v>1</v>
      </c>
      <c r="E16" s="147" t="s">
        <v>30</v>
      </c>
      <c r="F16" s="16"/>
      <c r="G16" s="6"/>
      <c r="H16" s="6"/>
      <c r="I16" s="6"/>
      <c r="J16" s="6"/>
      <c r="K16" s="6"/>
      <c r="L16" s="142" t="s">
        <v>6</v>
      </c>
      <c r="M16" s="16">
        <f>D6</f>
        <v>32</v>
      </c>
      <c r="N16" s="148" t="s">
        <v>139</v>
      </c>
      <c r="O16" s="189"/>
    </row>
    <row r="17" spans="2:15" ht="15">
      <c r="B17" s="183"/>
      <c r="C17" s="180" t="s">
        <v>27</v>
      </c>
      <c r="D17" s="154">
        <f>1/(1+((100-D14)/D14)*D15/D16)</f>
        <v>0.1657589391427895</v>
      </c>
      <c r="E17" s="149" t="s">
        <v>165</v>
      </c>
      <c r="F17" s="16"/>
      <c r="G17" s="143" t="s">
        <v>162</v>
      </c>
      <c r="H17" s="144"/>
      <c r="I17" s="144"/>
      <c r="J17" s="146"/>
      <c r="K17" s="6"/>
      <c r="L17" s="145" t="s">
        <v>171</v>
      </c>
      <c r="M17" s="156">
        <f>Slurry_Kinem_Visc_Thomas_Cw_Ss_RhoL_t(M13,M14,M15,M16)</f>
        <v>1.0355410852370662E-06</v>
      </c>
      <c r="N17" s="149" t="s">
        <v>172</v>
      </c>
      <c r="O17" s="189"/>
    </row>
    <row r="18" spans="2:15" ht="15">
      <c r="B18" s="183"/>
      <c r="C18" s="6"/>
      <c r="D18" s="6"/>
      <c r="E18" s="6"/>
      <c r="F18" s="6"/>
      <c r="G18" s="167" t="s">
        <v>163</v>
      </c>
      <c r="H18" s="14" t="s">
        <v>164</v>
      </c>
      <c r="I18" s="6"/>
      <c r="J18" s="147"/>
      <c r="K18" s="6"/>
      <c r="L18" s="6"/>
      <c r="M18" s="6"/>
      <c r="N18" s="6"/>
      <c r="O18" s="189"/>
    </row>
    <row r="19" spans="2:17" ht="15">
      <c r="B19" s="183"/>
      <c r="C19" s="6"/>
      <c r="D19" s="6"/>
      <c r="E19" s="6"/>
      <c r="F19" s="6"/>
      <c r="G19" s="167" t="s">
        <v>16</v>
      </c>
      <c r="H19" s="119">
        <f>D9</f>
        <v>1</v>
      </c>
      <c r="I19" s="6" t="s">
        <v>30</v>
      </c>
      <c r="J19" s="147"/>
      <c r="K19" s="6"/>
      <c r="L19" s="6"/>
      <c r="M19" s="6"/>
      <c r="N19" s="6"/>
      <c r="O19" s="189"/>
      <c r="Q19" s="191"/>
    </row>
    <row r="20" spans="2:17" ht="15">
      <c r="B20" s="183"/>
      <c r="C20" s="143" t="s">
        <v>173</v>
      </c>
      <c r="D20" s="144"/>
      <c r="E20" s="146"/>
      <c r="F20" s="6"/>
      <c r="G20" s="142" t="s">
        <v>28</v>
      </c>
      <c r="H20" s="124">
        <f>D7/100</f>
        <v>0.35</v>
      </c>
      <c r="I20" s="5" t="s">
        <v>165</v>
      </c>
      <c r="J20" s="147"/>
      <c r="K20" s="129" t="s">
        <v>55</v>
      </c>
      <c r="L20" s="129" t="s">
        <v>55</v>
      </c>
      <c r="M20" s="26"/>
      <c r="N20" s="26"/>
      <c r="O20" s="189"/>
      <c r="Q20" s="192" t="s">
        <v>182</v>
      </c>
    </row>
    <row r="21" spans="2:17" ht="15">
      <c r="B21" s="183"/>
      <c r="C21" s="175" t="s">
        <v>6</v>
      </c>
      <c r="D21" s="16">
        <f>D6</f>
        <v>32</v>
      </c>
      <c r="E21" s="147" t="s">
        <v>7</v>
      </c>
      <c r="F21" s="6"/>
      <c r="G21" s="142" t="s">
        <v>166</v>
      </c>
      <c r="H21" s="124">
        <f>D8/D9</f>
        <v>2.71</v>
      </c>
      <c r="I21" s="5" t="s">
        <v>165</v>
      </c>
      <c r="J21" s="147"/>
      <c r="K21" s="26"/>
      <c r="L21" s="129" t="s">
        <v>55</v>
      </c>
      <c r="M21" s="26"/>
      <c r="N21" s="26"/>
      <c r="O21" s="189"/>
      <c r="Q21" s="191" t="s">
        <v>184</v>
      </c>
    </row>
    <row r="22" spans="2:17" ht="15">
      <c r="B22" s="183"/>
      <c r="C22" s="176" t="s">
        <v>158</v>
      </c>
      <c r="D22" s="6"/>
      <c r="E22" s="147"/>
      <c r="F22" s="6"/>
      <c r="G22" s="173" t="s">
        <v>163</v>
      </c>
      <c r="H22" s="194">
        <f>H19*H21/(H20+(1-H20)*H21)</f>
        <v>1.28344778593417</v>
      </c>
      <c r="I22" s="174" t="s">
        <v>167</v>
      </c>
      <c r="J22" s="170"/>
      <c r="K22" s="6"/>
      <c r="L22" s="6"/>
      <c r="M22" s="6"/>
      <c r="N22" s="6"/>
      <c r="O22" s="189"/>
      <c r="Q22" s="191" t="s">
        <v>183</v>
      </c>
    </row>
    <row r="23" spans="2:17" ht="15">
      <c r="B23" s="183"/>
      <c r="C23" s="177" t="s">
        <v>159</v>
      </c>
      <c r="D23" s="153">
        <f>SaturatedWaterAbsoluteViscosity_t(D21)</f>
        <v>0.0007667799945920706</v>
      </c>
      <c r="E23" s="170" t="s">
        <v>9</v>
      </c>
      <c r="F23" s="6"/>
      <c r="G23" s="6"/>
      <c r="H23" s="6"/>
      <c r="I23" s="6"/>
      <c r="J23" s="6"/>
      <c r="K23" s="6"/>
      <c r="L23" s="6"/>
      <c r="M23" s="6"/>
      <c r="N23" s="6"/>
      <c r="O23" s="189"/>
      <c r="Q23" s="191"/>
    </row>
    <row r="24" spans="2:15" ht="13.5" thickBo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90"/>
    </row>
    <row r="25" spans="10:13" ht="13.5" thickTop="1">
      <c r="J25" s="6"/>
      <c r="K25" s="6"/>
      <c r="L25" s="6"/>
      <c r="M25" s="6"/>
    </row>
    <row r="26" spans="7:13" ht="12.75">
      <c r="G26" s="6"/>
      <c r="H26" s="6"/>
      <c r="I26" s="6"/>
      <c r="J26" s="6"/>
      <c r="K26" s="6"/>
      <c r="L26" s="6"/>
      <c r="M26" s="6"/>
    </row>
  </sheetData>
  <sheetProtection/>
  <hyperlinks>
    <hyperlink ref="Q20" r:id="rId1" display="www.piping-tools.ne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AA102"/>
  <sheetViews>
    <sheetView showGridLines="0" zoomScalePageLayoutView="0" workbookViewId="0" topLeftCell="A1">
      <selection activeCell="C1" sqref="C1"/>
    </sheetView>
  </sheetViews>
  <sheetFormatPr defaultColWidth="11.57421875" defaultRowHeight="12.75"/>
  <cols>
    <col min="1" max="1" width="4.28125" style="0" customWidth="1"/>
    <col min="2" max="8" width="11.57421875" style="0" customWidth="1"/>
    <col min="9" max="9" width="12.28125" style="0" bestFit="1" customWidth="1"/>
  </cols>
  <sheetData>
    <row r="2" spans="2:15" ht="15">
      <c r="B2" s="25" t="s">
        <v>53</v>
      </c>
      <c r="C2" t="s">
        <v>51</v>
      </c>
      <c r="O2" s="158" t="str">
        <f>'Viscosity of slurries'!O1</f>
        <v>Rev. cjc. 10.08.2016</v>
      </c>
    </row>
    <row r="3" spans="2:15" ht="15">
      <c r="B3" s="23"/>
      <c r="I3" s="132" t="s">
        <v>63</v>
      </c>
      <c r="J3" s="133" t="s">
        <v>57</v>
      </c>
      <c r="K3" s="133"/>
      <c r="L3" s="133"/>
      <c r="M3" s="160" t="s">
        <v>58</v>
      </c>
      <c r="N3" s="161" t="s">
        <v>61</v>
      </c>
      <c r="O3" s="162"/>
    </row>
    <row r="4" spans="2:15" ht="15">
      <c r="B4" s="23" t="s">
        <v>54</v>
      </c>
      <c r="I4" s="130" t="s">
        <v>27</v>
      </c>
      <c r="J4" s="38">
        <v>1</v>
      </c>
      <c r="K4" s="26" t="s">
        <v>18</v>
      </c>
      <c r="L4" s="26"/>
      <c r="M4" s="26"/>
      <c r="N4" s="26"/>
      <c r="O4" s="139"/>
    </row>
    <row r="5" spans="9:15" ht="15">
      <c r="I5" s="131" t="s">
        <v>63</v>
      </c>
      <c r="J5" s="39">
        <f>1+2.5*(J4/100)</f>
        <v>1.025</v>
      </c>
      <c r="K5" s="26"/>
      <c r="L5" s="26"/>
      <c r="M5" s="26" t="s">
        <v>59</v>
      </c>
      <c r="N5" s="27" t="s">
        <v>60</v>
      </c>
      <c r="O5" s="139"/>
    </row>
    <row r="6" spans="2:15" ht="12.75">
      <c r="B6" t="s">
        <v>78</v>
      </c>
      <c r="I6" s="159"/>
      <c r="J6" s="26"/>
      <c r="K6" s="26"/>
      <c r="L6" s="26"/>
      <c r="M6" s="26"/>
      <c r="N6" s="26"/>
      <c r="O6" s="139"/>
    </row>
    <row r="7" spans="2:15" ht="12.75">
      <c r="B7" t="s">
        <v>79</v>
      </c>
      <c r="I7" s="159" t="s">
        <v>36</v>
      </c>
      <c r="J7" s="26"/>
      <c r="K7" s="26"/>
      <c r="L7" s="26"/>
      <c r="M7" s="26"/>
      <c r="N7" s="26"/>
      <c r="O7" s="139"/>
    </row>
    <row r="8" spans="2:15" ht="12.75">
      <c r="B8" t="s">
        <v>80</v>
      </c>
      <c r="I8" s="159" t="s">
        <v>41</v>
      </c>
      <c r="J8" s="26"/>
      <c r="K8" s="26"/>
      <c r="L8" s="26"/>
      <c r="M8" s="26"/>
      <c r="N8" s="26"/>
      <c r="O8" s="139"/>
    </row>
    <row r="9" spans="2:15" ht="12.75">
      <c r="B9" t="s">
        <v>81</v>
      </c>
      <c r="I9" s="159" t="s">
        <v>62</v>
      </c>
      <c r="J9" s="26"/>
      <c r="K9" s="26"/>
      <c r="L9" s="26"/>
      <c r="M9" s="26"/>
      <c r="N9" s="26"/>
      <c r="O9" s="139"/>
    </row>
    <row r="10" spans="2:15" ht="12.75">
      <c r="B10" t="s">
        <v>82</v>
      </c>
      <c r="I10" s="159" t="s">
        <v>37</v>
      </c>
      <c r="J10" s="26"/>
      <c r="K10" s="26"/>
      <c r="L10" s="26"/>
      <c r="M10" s="26"/>
      <c r="N10" s="26"/>
      <c r="O10" s="139"/>
    </row>
    <row r="11" spans="9:15" ht="12.75">
      <c r="I11" s="134" t="s">
        <v>38</v>
      </c>
      <c r="J11" s="135"/>
      <c r="K11" s="135"/>
      <c r="L11" s="135"/>
      <c r="M11" s="135"/>
      <c r="N11" s="135"/>
      <c r="O11" s="140"/>
    </row>
    <row r="12" spans="2:15" ht="12.75">
      <c r="B12" s="24" t="s">
        <v>83</v>
      </c>
      <c r="I12" s="26"/>
      <c r="J12" s="26"/>
      <c r="K12" s="26"/>
      <c r="L12" s="26"/>
      <c r="M12" s="26"/>
      <c r="N12" s="26"/>
      <c r="O12" s="26"/>
    </row>
    <row r="13" spans="2:15" ht="15">
      <c r="B13" t="s">
        <v>84</v>
      </c>
      <c r="I13" s="132" t="s">
        <v>63</v>
      </c>
      <c r="J13" s="133" t="s">
        <v>70</v>
      </c>
      <c r="K13" s="133"/>
      <c r="L13" s="133"/>
      <c r="M13" s="160" t="s">
        <v>64</v>
      </c>
      <c r="N13" s="163" t="s">
        <v>66</v>
      </c>
      <c r="O13" s="162"/>
    </row>
    <row r="14" spans="2:15" ht="15">
      <c r="B14" t="s">
        <v>85</v>
      </c>
      <c r="I14" s="130" t="s">
        <v>27</v>
      </c>
      <c r="J14" s="38">
        <v>16.58</v>
      </c>
      <c r="K14" s="26" t="s">
        <v>18</v>
      </c>
      <c r="L14" s="26"/>
      <c r="M14" s="26"/>
      <c r="N14" s="26"/>
      <c r="O14" s="139"/>
    </row>
    <row r="15" spans="2:15" ht="15">
      <c r="B15" t="s">
        <v>86</v>
      </c>
      <c r="I15" s="130" t="s">
        <v>69</v>
      </c>
      <c r="J15" s="27">
        <v>10.5</v>
      </c>
      <c r="K15" s="26"/>
      <c r="L15" s="26"/>
      <c r="M15" s="26" t="s">
        <v>59</v>
      </c>
      <c r="N15" s="27" t="s">
        <v>65</v>
      </c>
      <c r="O15" s="139"/>
    </row>
    <row r="16" spans="2:15" ht="15">
      <c r="B16" t="s">
        <v>87</v>
      </c>
      <c r="I16" s="131" t="s">
        <v>63</v>
      </c>
      <c r="J16" s="40">
        <f>1+2.5*(J14/100)+J15*(J14/100)^2</f>
        <v>1.7031412199999998</v>
      </c>
      <c r="K16" s="26"/>
      <c r="L16" s="26"/>
      <c r="M16" s="26" t="s">
        <v>67</v>
      </c>
      <c r="N16" s="26"/>
      <c r="O16" s="139"/>
    </row>
    <row r="17" spans="2:15" ht="15">
      <c r="B17" t="s">
        <v>88</v>
      </c>
      <c r="I17" s="159"/>
      <c r="J17" s="26"/>
      <c r="K17" s="26"/>
      <c r="L17" s="26"/>
      <c r="M17" s="26" t="s">
        <v>68</v>
      </c>
      <c r="N17" s="26"/>
      <c r="O17" s="139"/>
    </row>
    <row r="18" spans="9:15" ht="15">
      <c r="I18" s="131" t="s">
        <v>63</v>
      </c>
      <c r="J18" s="26" t="s">
        <v>70</v>
      </c>
      <c r="K18" s="26"/>
      <c r="L18" s="26"/>
      <c r="M18" s="26"/>
      <c r="N18" s="26"/>
      <c r="O18" s="139"/>
    </row>
    <row r="19" spans="2:15" ht="15">
      <c r="B19" s="24" t="s">
        <v>89</v>
      </c>
      <c r="I19" s="130" t="s">
        <v>27</v>
      </c>
      <c r="J19" s="38">
        <v>19</v>
      </c>
      <c r="K19" s="26" t="s">
        <v>18</v>
      </c>
      <c r="L19" s="26"/>
      <c r="M19" s="26"/>
      <c r="N19" s="26"/>
      <c r="O19" s="139"/>
    </row>
    <row r="20" spans="2:15" ht="15">
      <c r="B20" t="s">
        <v>90</v>
      </c>
      <c r="I20" s="130" t="s">
        <v>69</v>
      </c>
      <c r="J20" s="27">
        <v>14.1</v>
      </c>
      <c r="K20" s="26"/>
      <c r="L20" s="26"/>
      <c r="M20" s="26"/>
      <c r="N20" s="26"/>
      <c r="O20" s="139"/>
    </row>
    <row r="21" spans="2:15" ht="15">
      <c r="B21" t="s">
        <v>91</v>
      </c>
      <c r="I21" s="164" t="s">
        <v>63</v>
      </c>
      <c r="J21" s="165">
        <f>1+2.5*(J19/100)+J20*(J19/100)^2</f>
        <v>1.98401</v>
      </c>
      <c r="K21" s="135"/>
      <c r="L21" s="135"/>
      <c r="M21" s="135"/>
      <c r="N21" s="135"/>
      <c r="O21" s="140"/>
    </row>
    <row r="22" spans="2:15" ht="12.75">
      <c r="B22" t="s">
        <v>92</v>
      </c>
      <c r="I22" s="26"/>
      <c r="J22" s="26"/>
      <c r="K22" s="26"/>
      <c r="L22" s="26"/>
      <c r="M22" s="26"/>
      <c r="N22" s="26"/>
      <c r="O22" s="26"/>
    </row>
    <row r="23" spans="2:15" ht="15">
      <c r="B23" t="s">
        <v>93</v>
      </c>
      <c r="I23" s="132" t="s">
        <v>63</v>
      </c>
      <c r="J23" s="133" t="s">
        <v>74</v>
      </c>
      <c r="K23" s="133"/>
      <c r="L23" s="133"/>
      <c r="M23" s="133"/>
      <c r="N23" s="133"/>
      <c r="O23" s="137"/>
    </row>
    <row r="24" spans="9:15" ht="15">
      <c r="I24" s="130" t="s">
        <v>27</v>
      </c>
      <c r="J24" s="38">
        <v>19</v>
      </c>
      <c r="K24" s="26" t="s">
        <v>18</v>
      </c>
      <c r="L24" s="26"/>
      <c r="M24" s="48" t="s">
        <v>73</v>
      </c>
      <c r="N24" s="49" t="s">
        <v>66</v>
      </c>
      <c r="O24" s="138"/>
    </row>
    <row r="25" spans="9:15" ht="15">
      <c r="I25" s="130" t="s">
        <v>75</v>
      </c>
      <c r="J25" s="27">
        <v>2.5</v>
      </c>
      <c r="K25" s="26"/>
      <c r="L25" s="26"/>
      <c r="M25" s="26"/>
      <c r="N25" s="26"/>
      <c r="O25" s="139"/>
    </row>
    <row r="26" spans="2:15" ht="15">
      <c r="B26" s="23" t="s">
        <v>33</v>
      </c>
      <c r="I26" s="130" t="s">
        <v>69</v>
      </c>
      <c r="J26" s="27">
        <v>10.05</v>
      </c>
      <c r="K26" s="26"/>
      <c r="L26" s="26"/>
      <c r="M26" s="26" t="s">
        <v>77</v>
      </c>
      <c r="N26" s="26"/>
      <c r="O26" s="139"/>
    </row>
    <row r="27" spans="7:15" ht="12.75">
      <c r="G27" t="s">
        <v>55</v>
      </c>
      <c r="I27" s="130" t="s">
        <v>71</v>
      </c>
      <c r="J27" s="27">
        <v>0.00273</v>
      </c>
      <c r="K27" s="26"/>
      <c r="L27" s="26"/>
      <c r="M27" s="26" t="s">
        <v>76</v>
      </c>
      <c r="N27" s="26"/>
      <c r="O27" s="139"/>
    </row>
    <row r="28" spans="2:15" ht="12.75">
      <c r="B28" s="23" t="s">
        <v>34</v>
      </c>
      <c r="I28" s="130" t="s">
        <v>72</v>
      </c>
      <c r="J28" s="27">
        <v>16.6</v>
      </c>
      <c r="K28" s="43"/>
      <c r="L28" s="43"/>
      <c r="M28" s="26" t="s">
        <v>47</v>
      </c>
      <c r="N28" s="26"/>
      <c r="O28" s="139"/>
    </row>
    <row r="29" spans="2:15" ht="15">
      <c r="B29" t="s">
        <v>94</v>
      </c>
      <c r="I29" s="164" t="s">
        <v>63</v>
      </c>
      <c r="J29" s="165">
        <f>1+J25*(J24/100)+J26*(J24/100)^2+J27*EXP(J28*(J24/100))</f>
        <v>1.9017677964710744</v>
      </c>
      <c r="K29" s="136"/>
      <c r="L29" s="136"/>
      <c r="M29" s="135"/>
      <c r="N29" s="135"/>
      <c r="O29" s="140"/>
    </row>
    <row r="30" spans="2:18" ht="12.75">
      <c r="B30" t="s">
        <v>95</v>
      </c>
      <c r="Q30" s="26"/>
      <c r="R30" s="26"/>
    </row>
    <row r="31" spans="2:11" ht="15">
      <c r="B31" t="s">
        <v>96</v>
      </c>
      <c r="I31" s="27" t="s">
        <v>27</v>
      </c>
      <c r="J31" s="38">
        <v>19</v>
      </c>
      <c r="K31" s="26" t="s">
        <v>18</v>
      </c>
    </row>
    <row r="32" spans="9:10" ht="12.75">
      <c r="I32" s="68" t="s">
        <v>133</v>
      </c>
      <c r="J32" s="70" t="s">
        <v>137</v>
      </c>
    </row>
    <row r="33" spans="9:10" ht="12.75">
      <c r="I33" s="68" t="s">
        <v>133</v>
      </c>
      <c r="J33" s="71">
        <f>SlurryAbsViscosityRatio_SVR_Cv(J31)</f>
        <v>1.9017677964710744</v>
      </c>
    </row>
    <row r="34" ht="12.75">
      <c r="J34" t="s">
        <v>55</v>
      </c>
    </row>
    <row r="36" ht="12.75">
      <c r="I36" s="26" t="s">
        <v>136</v>
      </c>
    </row>
    <row r="37" spans="9:10" ht="12.75">
      <c r="I37" s="67" t="s">
        <v>134</v>
      </c>
      <c r="J37" s="67" t="s">
        <v>135</v>
      </c>
    </row>
    <row r="38" spans="9:10" ht="12.75">
      <c r="I38" s="67">
        <v>5</v>
      </c>
      <c r="J38" s="69">
        <f aca="true" t="shared" si="0" ref="J38:J49">SlurryAbsViscosityRatio_SVR_Cv(I38)</f>
        <v>1.1563857601609213</v>
      </c>
    </row>
    <row r="39" spans="2:10" ht="12.75">
      <c r="B39" t="s">
        <v>35</v>
      </c>
      <c r="I39" s="67">
        <v>10</v>
      </c>
      <c r="J39" s="69">
        <f t="shared" si="0"/>
        <v>1.36485791860534</v>
      </c>
    </row>
    <row r="40" spans="2:10" ht="15">
      <c r="B40" s="22" t="s">
        <v>39</v>
      </c>
      <c r="I40" s="67">
        <v>15</v>
      </c>
      <c r="J40" s="69">
        <f t="shared" si="0"/>
        <v>1.6340522838088143</v>
      </c>
    </row>
    <row r="41" spans="2:10" ht="15">
      <c r="B41" s="22" t="s">
        <v>40</v>
      </c>
      <c r="I41" s="67">
        <v>20</v>
      </c>
      <c r="J41" s="69">
        <f t="shared" si="0"/>
        <v>1.9775127570247508</v>
      </c>
    </row>
    <row r="42" spans="2:10" ht="12.75">
      <c r="B42" t="s">
        <v>36</v>
      </c>
      <c r="I42" s="67">
        <v>25</v>
      </c>
      <c r="J42" s="69">
        <f t="shared" si="0"/>
        <v>2.4262998208138766</v>
      </c>
    </row>
    <row r="43" spans="2:10" ht="12.75">
      <c r="B43" t="s">
        <v>41</v>
      </c>
      <c r="I43" s="67">
        <v>30</v>
      </c>
      <c r="J43" s="69">
        <f t="shared" si="0"/>
        <v>3.0516450619143556</v>
      </c>
    </row>
    <row r="44" spans="2:10" ht="12.75">
      <c r="B44" t="s">
        <v>62</v>
      </c>
      <c r="I44" s="67">
        <v>35</v>
      </c>
      <c r="J44" s="69">
        <f t="shared" si="0"/>
        <v>4.016905213091571</v>
      </c>
    </row>
    <row r="45" spans="2:10" ht="12.75">
      <c r="B45" t="s">
        <v>97</v>
      </c>
      <c r="I45" s="67">
        <v>40</v>
      </c>
      <c r="J45" s="69">
        <f t="shared" si="0"/>
        <v>5.696709330944705</v>
      </c>
    </row>
    <row r="46" spans="2:10" ht="12.75">
      <c r="B46" t="s">
        <v>98</v>
      </c>
      <c r="I46" s="67">
        <v>45</v>
      </c>
      <c r="J46" s="69">
        <f t="shared" si="0"/>
        <v>8.950201251620154</v>
      </c>
    </row>
    <row r="47" spans="9:10" ht="12.75">
      <c r="I47" s="67">
        <v>50</v>
      </c>
      <c r="J47" s="69">
        <f t="shared" si="0"/>
        <v>15.747671635134914</v>
      </c>
    </row>
    <row r="48" spans="9:10" ht="12.75">
      <c r="I48" s="67">
        <v>55</v>
      </c>
      <c r="J48" s="69">
        <f t="shared" si="0"/>
        <v>30.607624975873435</v>
      </c>
    </row>
    <row r="49" spans="2:10" ht="12.75">
      <c r="B49" s="23" t="s">
        <v>48</v>
      </c>
      <c r="I49" s="67">
        <v>60</v>
      </c>
      <c r="J49" s="69">
        <f t="shared" si="0"/>
        <v>63.892432308775525</v>
      </c>
    </row>
    <row r="51" ht="12.75">
      <c r="B51" t="s">
        <v>49</v>
      </c>
    </row>
    <row r="52" ht="12.75">
      <c r="B52" t="s">
        <v>99</v>
      </c>
    </row>
    <row r="53" ht="12.75">
      <c r="B53" t="s">
        <v>100</v>
      </c>
    </row>
    <row r="57" spans="9:10" ht="12.75">
      <c r="I57" s="67"/>
      <c r="J57" s="69"/>
    </row>
    <row r="61" ht="12.75">
      <c r="B61" t="s">
        <v>50</v>
      </c>
    </row>
    <row r="62" ht="13.5" thickBot="1">
      <c r="B62" t="s">
        <v>101</v>
      </c>
    </row>
    <row r="63" spans="2:27" ht="15.75">
      <c r="B63" t="s">
        <v>102</v>
      </c>
      <c r="H63" s="11" t="s">
        <v>10</v>
      </c>
      <c r="I63" s="2"/>
      <c r="J63" s="2"/>
      <c r="K63" s="2"/>
      <c r="L63" s="2"/>
      <c r="M63" s="3"/>
      <c r="N63" s="1"/>
      <c r="O63" s="12" t="s">
        <v>14</v>
      </c>
      <c r="P63" s="2"/>
      <c r="Q63" s="2"/>
      <c r="R63" s="2"/>
      <c r="S63" s="3"/>
      <c r="T63" s="1"/>
      <c r="U63" s="31" t="s">
        <v>63</v>
      </c>
      <c r="V63" s="32" t="s">
        <v>57</v>
      </c>
      <c r="W63" s="32"/>
      <c r="X63" s="32"/>
      <c r="Y63" s="45" t="s">
        <v>58</v>
      </c>
      <c r="Z63" s="46" t="s">
        <v>61</v>
      </c>
      <c r="AA63" s="47"/>
    </row>
    <row r="64" spans="2:27" ht="15.75">
      <c r="B64" t="s">
        <v>103</v>
      </c>
      <c r="H64" s="13"/>
      <c r="I64" s="6"/>
      <c r="J64" s="6"/>
      <c r="K64" s="6"/>
      <c r="L64" s="6"/>
      <c r="M64" s="7"/>
      <c r="N64" s="1"/>
      <c r="O64" s="13"/>
      <c r="P64" s="6"/>
      <c r="Q64" s="6"/>
      <c r="R64" s="63" t="s">
        <v>120</v>
      </c>
      <c r="S64" s="7"/>
      <c r="T64" s="1"/>
      <c r="U64" s="29" t="s">
        <v>27</v>
      </c>
      <c r="V64" s="38">
        <v>1</v>
      </c>
      <c r="W64" s="26" t="s">
        <v>18</v>
      </c>
      <c r="X64" s="26"/>
      <c r="AA64" s="36"/>
    </row>
    <row r="65" spans="2:27" ht="15.75">
      <c r="B65" t="s">
        <v>104</v>
      </c>
      <c r="H65" s="13"/>
      <c r="I65" s="6"/>
      <c r="J65" s="6"/>
      <c r="K65" s="6"/>
      <c r="L65" s="6"/>
      <c r="M65" s="7"/>
      <c r="N65" s="1"/>
      <c r="O65" s="13"/>
      <c r="P65" s="6"/>
      <c r="Q65" s="6"/>
      <c r="R65" s="49" t="s">
        <v>121</v>
      </c>
      <c r="S65" s="7"/>
      <c r="T65" s="1"/>
      <c r="U65" s="76" t="s">
        <v>63</v>
      </c>
      <c r="V65" s="77">
        <f>1+2.5*(V64/100)</f>
        <v>1.025</v>
      </c>
      <c r="W65" s="26"/>
      <c r="X65" s="26"/>
      <c r="Y65" s="26" t="s">
        <v>59</v>
      </c>
      <c r="Z65" s="27" t="s">
        <v>60</v>
      </c>
      <c r="AA65" s="36"/>
    </row>
    <row r="66" spans="8:27" ht="15.75">
      <c r="H66" s="8" t="s">
        <v>0</v>
      </c>
      <c r="I66" s="14" t="s">
        <v>13</v>
      </c>
      <c r="J66" s="6"/>
      <c r="K66" s="6"/>
      <c r="L66" s="6"/>
      <c r="M66" s="7"/>
      <c r="N66" s="1"/>
      <c r="O66" s="13"/>
      <c r="P66" s="6"/>
      <c r="Q66" s="6"/>
      <c r="R66" s="6"/>
      <c r="S66" s="7"/>
      <c r="T66" s="1"/>
      <c r="U66" s="30"/>
      <c r="V66" s="26"/>
      <c r="W66" s="26"/>
      <c r="X66" s="26"/>
      <c r="Y66" s="26"/>
      <c r="Z66" s="26"/>
      <c r="AA66" s="36"/>
    </row>
    <row r="67" spans="8:27" ht="15.75">
      <c r="H67" s="8" t="s">
        <v>1</v>
      </c>
      <c r="I67" s="6"/>
      <c r="J67" s="6"/>
      <c r="K67" s="6"/>
      <c r="L67" s="6"/>
      <c r="M67" s="7"/>
      <c r="N67" s="1"/>
      <c r="O67" s="13"/>
      <c r="P67" s="6"/>
      <c r="Q67" s="6"/>
      <c r="R67" s="6"/>
      <c r="S67" s="7"/>
      <c r="T67" s="1"/>
      <c r="U67" s="30" t="s">
        <v>36</v>
      </c>
      <c r="V67" s="26"/>
      <c r="W67" s="26"/>
      <c r="X67" s="26"/>
      <c r="Y67" s="26"/>
      <c r="Z67" s="26"/>
      <c r="AA67" s="36"/>
    </row>
    <row r="68" spans="2:27" ht="15">
      <c r="B68" s="23" t="s">
        <v>42</v>
      </c>
      <c r="H68" s="8" t="s">
        <v>2</v>
      </c>
      <c r="I68" s="6" t="s">
        <v>3</v>
      </c>
      <c r="J68" s="6"/>
      <c r="K68" s="6"/>
      <c r="L68" s="6"/>
      <c r="M68" s="7"/>
      <c r="N68" s="1"/>
      <c r="O68" s="13"/>
      <c r="P68" s="6"/>
      <c r="Q68" s="6"/>
      <c r="R68" s="6"/>
      <c r="S68" s="7"/>
      <c r="T68" s="1"/>
      <c r="U68" s="30" t="s">
        <v>41</v>
      </c>
      <c r="V68" s="26"/>
      <c r="W68" s="26"/>
      <c r="X68" s="26"/>
      <c r="Y68" s="26"/>
      <c r="Z68" s="26"/>
      <c r="AA68" s="36"/>
    </row>
    <row r="69" spans="8:27" ht="15">
      <c r="H69" s="4" t="s">
        <v>11</v>
      </c>
      <c r="I69" s="6" t="s">
        <v>4</v>
      </c>
      <c r="J69" s="6"/>
      <c r="K69" s="6"/>
      <c r="L69" s="6" t="s">
        <v>5</v>
      </c>
      <c r="M69" s="7"/>
      <c r="N69" s="1"/>
      <c r="O69" s="8" t="s">
        <v>0</v>
      </c>
      <c r="P69" s="14" t="s">
        <v>15</v>
      </c>
      <c r="Q69" s="6"/>
      <c r="R69" s="6"/>
      <c r="S69" s="7"/>
      <c r="T69" s="1"/>
      <c r="U69" s="30" t="s">
        <v>62</v>
      </c>
      <c r="V69" s="26"/>
      <c r="W69" s="26"/>
      <c r="X69" s="26"/>
      <c r="Y69" s="26"/>
      <c r="Z69" s="26"/>
      <c r="AA69" s="36"/>
    </row>
    <row r="70" spans="2:27" ht="12.75">
      <c r="B70" t="s">
        <v>43</v>
      </c>
      <c r="H70" s="13"/>
      <c r="I70" s="6"/>
      <c r="J70" s="6"/>
      <c r="K70" s="6"/>
      <c r="L70" s="6"/>
      <c r="M70" s="7"/>
      <c r="N70" s="1"/>
      <c r="O70" s="13"/>
      <c r="P70" s="6"/>
      <c r="Q70" s="6"/>
      <c r="R70" s="6"/>
      <c r="S70" s="7"/>
      <c r="T70" s="1"/>
      <c r="U70" s="30" t="s">
        <v>97</v>
      </c>
      <c r="V70" s="26"/>
      <c r="W70" s="26"/>
      <c r="X70" s="26"/>
      <c r="Y70" s="26"/>
      <c r="Z70" s="26"/>
      <c r="AA70" s="36"/>
    </row>
    <row r="71" spans="2:27" ht="13.5" thickBot="1">
      <c r="B71" t="s">
        <v>105</v>
      </c>
      <c r="H71" s="13" t="s">
        <v>19</v>
      </c>
      <c r="I71" s="6"/>
      <c r="J71" s="6"/>
      <c r="K71" s="6"/>
      <c r="L71" s="6"/>
      <c r="M71" s="7"/>
      <c r="N71" s="1"/>
      <c r="O71" s="13" t="s">
        <v>19</v>
      </c>
      <c r="P71" s="6"/>
      <c r="Q71" s="6"/>
      <c r="R71" s="6"/>
      <c r="S71" s="7"/>
      <c r="T71" s="1"/>
      <c r="U71" s="33" t="s">
        <v>98</v>
      </c>
      <c r="V71" s="34"/>
      <c r="W71" s="34"/>
      <c r="X71" s="34"/>
      <c r="Y71" s="34"/>
      <c r="Z71" s="34"/>
      <c r="AA71" s="37"/>
    </row>
    <row r="72" spans="2:27" ht="13.5" thickBot="1">
      <c r="B72" t="s">
        <v>106</v>
      </c>
      <c r="H72" s="15" t="s">
        <v>6</v>
      </c>
      <c r="I72" s="16">
        <f>'Viscosity of slurries'!D6</f>
        <v>32</v>
      </c>
      <c r="J72" s="6" t="s">
        <v>7</v>
      </c>
      <c r="K72" s="6"/>
      <c r="L72" s="6"/>
      <c r="M72" s="7"/>
      <c r="N72" s="1"/>
      <c r="O72" s="15" t="s">
        <v>6</v>
      </c>
      <c r="P72" s="16">
        <f>'Viscosity of slurries'!D6</f>
        <v>32</v>
      </c>
      <c r="Q72" s="6" t="s">
        <v>7</v>
      </c>
      <c r="R72" s="6"/>
      <c r="S72" s="7"/>
      <c r="T72" s="1"/>
      <c r="U72" s="26"/>
      <c r="V72" s="26"/>
      <c r="W72" s="26"/>
      <c r="X72" s="26"/>
      <c r="Y72" s="26"/>
      <c r="Z72" s="26"/>
      <c r="AA72" s="26"/>
    </row>
    <row r="73" spans="8:27" ht="15">
      <c r="H73" s="8" t="s">
        <v>8</v>
      </c>
      <c r="I73" s="117">
        <f>SaturatedWaterAbsoluteViscosity_t(I72)</f>
        <v>0.0007667799945920706</v>
      </c>
      <c r="J73" s="6" t="s">
        <v>9</v>
      </c>
      <c r="K73" s="117" t="s">
        <v>55</v>
      </c>
      <c r="L73" s="6"/>
      <c r="M73" s="7"/>
      <c r="N73" s="1"/>
      <c r="O73" s="8" t="s">
        <v>8</v>
      </c>
      <c r="P73" s="117">
        <f>SaturatedWaterAbsoluteViscosity_t(P72)</f>
        <v>0.0007667799945920706</v>
      </c>
      <c r="Q73" s="6" t="s">
        <v>9</v>
      </c>
      <c r="R73" s="6"/>
      <c r="S73" s="7"/>
      <c r="T73" s="1"/>
      <c r="U73" s="31" t="s">
        <v>63</v>
      </c>
      <c r="V73" s="65" t="s">
        <v>131</v>
      </c>
      <c r="W73" s="32"/>
      <c r="X73" s="32"/>
      <c r="Y73" s="45" t="s">
        <v>64</v>
      </c>
      <c r="Z73" s="46" t="s">
        <v>66</v>
      </c>
      <c r="AA73" s="47"/>
    </row>
    <row r="74" spans="8:27" ht="15.75">
      <c r="H74" s="13" t="s">
        <v>126</v>
      </c>
      <c r="I74" s="6"/>
      <c r="J74" s="6"/>
      <c r="K74" s="6"/>
      <c r="L74" s="6"/>
      <c r="M74" s="7"/>
      <c r="N74" s="1"/>
      <c r="O74" s="13" t="s">
        <v>126</v>
      </c>
      <c r="P74" s="6"/>
      <c r="Q74" s="6"/>
      <c r="R74" s="6"/>
      <c r="S74" s="7"/>
      <c r="T74" s="1"/>
      <c r="U74" s="29" t="s">
        <v>27</v>
      </c>
      <c r="V74" s="64">
        <f>'Viscosity of slurries'!D17</f>
        <v>0.1657589391427895</v>
      </c>
      <c r="W74" s="26" t="s">
        <v>18</v>
      </c>
      <c r="X74" s="26"/>
      <c r="Y74" s="26"/>
      <c r="Z74" s="26"/>
      <c r="AA74" s="36"/>
    </row>
    <row r="75" spans="8:27" ht="15.75">
      <c r="H75" s="4" t="s">
        <v>12</v>
      </c>
      <c r="I75" s="20">
        <f>'Viscosity of slurries'!D17/100</f>
        <v>0.001657589391427895</v>
      </c>
      <c r="J75" s="6" t="s">
        <v>5</v>
      </c>
      <c r="K75" s="6"/>
      <c r="L75" s="6"/>
      <c r="M75" s="7"/>
      <c r="N75" s="1"/>
      <c r="O75" s="4" t="s">
        <v>12</v>
      </c>
      <c r="P75" s="20">
        <f>'Viscosity of slurries'!D17/100</f>
        <v>0.001657589391427895</v>
      </c>
      <c r="Q75" s="6" t="s">
        <v>5</v>
      </c>
      <c r="R75" s="6"/>
      <c r="S75" s="7"/>
      <c r="T75" s="1"/>
      <c r="U75" s="29" t="s">
        <v>69</v>
      </c>
      <c r="V75" s="27">
        <v>10.5</v>
      </c>
      <c r="W75" s="26"/>
      <c r="X75" s="26"/>
      <c r="Y75" s="26" t="s">
        <v>59</v>
      </c>
      <c r="Z75" s="66" t="s">
        <v>132</v>
      </c>
      <c r="AA75" s="36"/>
    </row>
    <row r="76" spans="8:27" ht="15.75">
      <c r="H76" s="13"/>
      <c r="I76" s="6"/>
      <c r="J76" s="6"/>
      <c r="K76" s="6"/>
      <c r="L76" s="6"/>
      <c r="M76" s="7"/>
      <c r="N76" s="1"/>
      <c r="O76" s="13"/>
      <c r="P76" s="6"/>
      <c r="Q76" s="6"/>
      <c r="R76" s="6"/>
      <c r="S76" s="7"/>
      <c r="T76" s="1"/>
      <c r="U76" s="28" t="s">
        <v>63</v>
      </c>
      <c r="V76" s="40">
        <f>1+2.5*(V74/100)+V75*(V74/100)^2</f>
        <v>1.0041728233057707</v>
      </c>
      <c r="W76" s="26"/>
      <c r="X76" s="26"/>
      <c r="Y76" s="26" t="s">
        <v>67</v>
      </c>
      <c r="Z76" s="26"/>
      <c r="AA76" s="36"/>
    </row>
    <row r="77" spans="8:27" ht="15.75">
      <c r="H77" s="13" t="s">
        <v>127</v>
      </c>
      <c r="I77" s="6"/>
      <c r="J77" s="6"/>
      <c r="K77" s="6"/>
      <c r="L77" s="6"/>
      <c r="M77" s="7"/>
      <c r="N77" s="1"/>
      <c r="O77" s="13" t="s">
        <v>127</v>
      </c>
      <c r="P77" s="6"/>
      <c r="Q77" s="6"/>
      <c r="R77" s="6"/>
      <c r="S77" s="7"/>
      <c r="T77" s="1"/>
      <c r="U77" s="30"/>
      <c r="V77" s="26"/>
      <c r="W77" s="26"/>
      <c r="X77" s="26"/>
      <c r="Y77" s="26" t="s">
        <v>68</v>
      </c>
      <c r="Z77" s="26"/>
      <c r="AA77" s="36"/>
    </row>
    <row r="78" spans="8:27" ht="15.75">
      <c r="H78" s="8" t="s">
        <v>128</v>
      </c>
      <c r="I78" s="52" t="s">
        <v>129</v>
      </c>
      <c r="J78" s="6"/>
      <c r="K78" s="6"/>
      <c r="L78" s="6"/>
      <c r="M78" s="7"/>
      <c r="N78" s="1"/>
      <c r="O78" s="8" t="s">
        <v>128</v>
      </c>
      <c r="P78" s="52" t="s">
        <v>130</v>
      </c>
      <c r="Q78" s="6"/>
      <c r="R78" s="6"/>
      <c r="S78" s="7"/>
      <c r="T78" s="1"/>
      <c r="U78" s="28" t="s">
        <v>63</v>
      </c>
      <c r="V78" s="26" t="s">
        <v>70</v>
      </c>
      <c r="W78" s="26"/>
      <c r="X78" s="26"/>
      <c r="Y78" s="26"/>
      <c r="Z78" s="26"/>
      <c r="AA78" s="36"/>
    </row>
    <row r="79" spans="8:27" ht="15">
      <c r="H79" s="4" t="s">
        <v>12</v>
      </c>
      <c r="I79" s="20">
        <f>I75</f>
        <v>0.001657589391427895</v>
      </c>
      <c r="J79" s="6" t="s">
        <v>5</v>
      </c>
      <c r="K79" s="6"/>
      <c r="L79" s="6"/>
      <c r="M79" s="7"/>
      <c r="N79" s="1"/>
      <c r="O79" s="4" t="s">
        <v>12</v>
      </c>
      <c r="P79" s="61">
        <f>P75</f>
        <v>0.001657589391427895</v>
      </c>
      <c r="Q79" s="6"/>
      <c r="R79" s="6"/>
      <c r="S79" s="7"/>
      <c r="T79" s="1"/>
      <c r="U79" s="29" t="s">
        <v>27</v>
      </c>
      <c r="V79" s="38">
        <v>19</v>
      </c>
      <c r="W79" s="26" t="s">
        <v>18</v>
      </c>
      <c r="X79" s="26"/>
      <c r="Y79" s="26"/>
      <c r="Z79" s="26"/>
      <c r="AA79" s="36"/>
    </row>
    <row r="80" spans="8:27" ht="15">
      <c r="H80" s="72" t="s">
        <v>128</v>
      </c>
      <c r="I80" s="73">
        <f>(1+2.5*I79+10.05*I79^2+0.00273*EXP(16.6*I79))</f>
        <v>1.0069777485468903</v>
      </c>
      <c r="J80" s="6"/>
      <c r="K80" s="6"/>
      <c r="L80" s="6"/>
      <c r="M80" s="7"/>
      <c r="N80" s="1"/>
      <c r="O80" s="72" t="s">
        <v>128</v>
      </c>
      <c r="P80" s="73">
        <f>EXP(-10.4*P79)/(1-P79/0.62)^8</f>
        <v>1.0041867025343325</v>
      </c>
      <c r="Q80" s="6"/>
      <c r="R80" s="6"/>
      <c r="S80" s="7"/>
      <c r="T80" s="1"/>
      <c r="U80" s="29" t="s">
        <v>69</v>
      </c>
      <c r="V80" s="27">
        <v>14.1</v>
      </c>
      <c r="W80" s="26"/>
      <c r="X80" s="26"/>
      <c r="Y80" s="26"/>
      <c r="Z80" s="26"/>
      <c r="AA80" s="36"/>
    </row>
    <row r="81" spans="2:27" ht="15.75" thickBot="1">
      <c r="B81" t="s">
        <v>35</v>
      </c>
      <c r="H81" s="13"/>
      <c r="I81" s="6"/>
      <c r="J81" s="6"/>
      <c r="K81" s="6"/>
      <c r="L81" s="6"/>
      <c r="M81" s="7"/>
      <c r="N81" s="6"/>
      <c r="O81" s="13"/>
      <c r="P81" s="6"/>
      <c r="Q81" s="6"/>
      <c r="R81" s="6"/>
      <c r="S81" s="7"/>
      <c r="T81" s="1"/>
      <c r="U81" s="74" t="s">
        <v>63</v>
      </c>
      <c r="V81" s="75">
        <f>1+2.5*(V79/100)+V80*(V79/100)^2</f>
        <v>1.98401</v>
      </c>
      <c r="W81" s="34"/>
      <c r="X81" s="34"/>
      <c r="Y81" s="34"/>
      <c r="Z81" s="34"/>
      <c r="AA81" s="37"/>
    </row>
    <row r="82" spans="2:27" ht="13.5" thickBot="1">
      <c r="B82" t="s">
        <v>44</v>
      </c>
      <c r="H82" s="13" t="s">
        <v>138</v>
      </c>
      <c r="I82" s="6"/>
      <c r="J82" s="6"/>
      <c r="K82" s="6"/>
      <c r="L82" s="6"/>
      <c r="M82" s="7"/>
      <c r="N82" s="6"/>
      <c r="O82" s="13" t="s">
        <v>138</v>
      </c>
      <c r="P82" s="6"/>
      <c r="Q82" s="6"/>
      <c r="R82" s="6"/>
      <c r="S82" s="7"/>
      <c r="T82" s="1"/>
      <c r="U82" s="26"/>
      <c r="V82" s="26"/>
      <c r="W82" s="26"/>
      <c r="X82" s="26"/>
      <c r="Y82" s="26"/>
      <c r="Z82" s="26"/>
      <c r="AA82" s="26"/>
    </row>
    <row r="83" spans="2:27" ht="15">
      <c r="B83" t="s">
        <v>45</v>
      </c>
      <c r="H83" s="8" t="s">
        <v>0</v>
      </c>
      <c r="I83" s="14" t="s">
        <v>13</v>
      </c>
      <c r="J83" s="6"/>
      <c r="K83" s="6"/>
      <c r="L83" s="6"/>
      <c r="M83" s="7"/>
      <c r="N83" s="6"/>
      <c r="O83" s="8" t="s">
        <v>0</v>
      </c>
      <c r="P83" s="14" t="s">
        <v>15</v>
      </c>
      <c r="Q83" s="6"/>
      <c r="R83" s="6"/>
      <c r="S83" s="7"/>
      <c r="T83" s="1"/>
      <c r="U83" s="31" t="s">
        <v>63</v>
      </c>
      <c r="V83" s="32" t="s">
        <v>74</v>
      </c>
      <c r="W83" s="32"/>
      <c r="X83" s="32"/>
      <c r="Y83" s="32"/>
      <c r="Z83" s="32"/>
      <c r="AA83" s="35"/>
    </row>
    <row r="84" spans="2:27" ht="15">
      <c r="B84" t="s">
        <v>46</v>
      </c>
      <c r="H84" s="8" t="s">
        <v>8</v>
      </c>
      <c r="I84" s="19">
        <f>I73</f>
        <v>0.0007667799945920706</v>
      </c>
      <c r="J84" s="6" t="s">
        <v>9</v>
      </c>
      <c r="K84" s="6"/>
      <c r="L84" s="6"/>
      <c r="M84" s="7"/>
      <c r="N84" s="1"/>
      <c r="O84" s="8" t="s">
        <v>8</v>
      </c>
      <c r="P84" s="19">
        <f>P73</f>
        <v>0.0007667799945920706</v>
      </c>
      <c r="Q84" s="6" t="s">
        <v>9</v>
      </c>
      <c r="R84" s="6"/>
      <c r="S84" s="7"/>
      <c r="T84" s="1"/>
      <c r="U84" s="29" t="s">
        <v>27</v>
      </c>
      <c r="V84" s="64">
        <f>'Viscosity of slurries'!D17</f>
        <v>0.1657589391427895</v>
      </c>
      <c r="W84" s="26" t="s">
        <v>18</v>
      </c>
      <c r="X84" s="26"/>
      <c r="Y84" s="48" t="s">
        <v>73</v>
      </c>
      <c r="Z84" s="49" t="s">
        <v>66</v>
      </c>
      <c r="AA84" s="50"/>
    </row>
    <row r="85" spans="2:27" ht="15">
      <c r="B85" t="s">
        <v>107</v>
      </c>
      <c r="H85" s="4" t="s">
        <v>12</v>
      </c>
      <c r="I85" s="20">
        <f>I79</f>
        <v>0.001657589391427895</v>
      </c>
      <c r="J85" s="6" t="s">
        <v>5</v>
      </c>
      <c r="K85" s="6"/>
      <c r="L85" s="6"/>
      <c r="M85" s="7"/>
      <c r="N85" s="1"/>
      <c r="O85" s="4" t="s">
        <v>12</v>
      </c>
      <c r="P85" s="20">
        <f>P75</f>
        <v>0.001657589391427895</v>
      </c>
      <c r="Q85" s="6" t="s">
        <v>5</v>
      </c>
      <c r="R85" s="6"/>
      <c r="S85" s="7"/>
      <c r="T85" s="1"/>
      <c r="U85" s="29" t="s">
        <v>75</v>
      </c>
      <c r="V85" s="27">
        <v>2.5</v>
      </c>
      <c r="W85" s="26"/>
      <c r="X85" s="26"/>
      <c r="Y85" s="63" t="s">
        <v>120</v>
      </c>
      <c r="Z85" s="26"/>
      <c r="AA85" s="36"/>
    </row>
    <row r="86" spans="2:27" ht="15.75" thickBot="1">
      <c r="B86" t="s">
        <v>108</v>
      </c>
      <c r="H86" s="17" t="s">
        <v>0</v>
      </c>
      <c r="I86" s="62">
        <f>I84*(1+2.5*I85+10.05*I85^2+0.00273*EXP(16.6*I85))</f>
        <v>0.0007721303925851199</v>
      </c>
      <c r="J86" s="9" t="s">
        <v>9</v>
      </c>
      <c r="K86" s="9"/>
      <c r="L86" s="9"/>
      <c r="M86" s="10"/>
      <c r="N86" s="1"/>
      <c r="O86" s="17" t="s">
        <v>0</v>
      </c>
      <c r="P86" s="62">
        <f>P84*EXP(-10.4*P85)/(1-P85/0.62)^8</f>
        <v>0.0007699902743387047</v>
      </c>
      <c r="Q86" s="9" t="s">
        <v>9</v>
      </c>
      <c r="R86" s="9"/>
      <c r="S86" s="10"/>
      <c r="T86" s="1"/>
      <c r="U86" s="29" t="s">
        <v>69</v>
      </c>
      <c r="V86" s="27">
        <v>10.05</v>
      </c>
      <c r="W86" s="26"/>
      <c r="X86" s="26"/>
      <c r="Y86" s="26" t="s">
        <v>77</v>
      </c>
      <c r="Z86" s="26"/>
      <c r="AA86" s="36"/>
    </row>
    <row r="87" spans="8:27" ht="12.7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9" t="s">
        <v>71</v>
      </c>
      <c r="V87" s="27">
        <v>0.00273</v>
      </c>
      <c r="W87" s="26"/>
      <c r="X87" s="26"/>
      <c r="Y87" s="26" t="s">
        <v>76</v>
      </c>
      <c r="Z87" s="26"/>
      <c r="AA87" s="36"/>
    </row>
    <row r="88" spans="8:27" ht="12.7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9" t="s">
        <v>72</v>
      </c>
      <c r="V88" s="27">
        <v>16.6</v>
      </c>
      <c r="W88" s="43"/>
      <c r="X88" s="43"/>
      <c r="Y88" s="26" t="s">
        <v>47</v>
      </c>
      <c r="Z88" s="26"/>
      <c r="AA88" s="36"/>
    </row>
    <row r="89" spans="2:27" ht="15.75" thickBot="1">
      <c r="B89" t="s">
        <v>56</v>
      </c>
      <c r="O89" s="1"/>
      <c r="P89" s="1"/>
      <c r="Q89" s="1"/>
      <c r="R89" s="1"/>
      <c r="S89" s="1"/>
      <c r="T89" s="1"/>
      <c r="U89" s="74" t="s">
        <v>63</v>
      </c>
      <c r="V89" s="75">
        <f>1+V85*(V84/100)+V86*(V84/100)^2+V87*EXP(V88*(V84/100))</f>
        <v>1.0069777485468903</v>
      </c>
      <c r="W89" s="44"/>
      <c r="X89" s="44"/>
      <c r="Y89" s="34"/>
      <c r="Z89" s="34"/>
      <c r="AA89" s="37"/>
    </row>
    <row r="90" ht="12.75">
      <c r="B90" t="s">
        <v>109</v>
      </c>
    </row>
    <row r="91" ht="12.75">
      <c r="B91" t="s">
        <v>110</v>
      </c>
    </row>
    <row r="93" ht="12.75">
      <c r="B93" t="s">
        <v>111</v>
      </c>
    </row>
    <row r="94" ht="12.75">
      <c r="B94" t="s">
        <v>112</v>
      </c>
    </row>
    <row r="95" ht="12.75">
      <c r="B95" t="s">
        <v>113</v>
      </c>
    </row>
    <row r="96" ht="12.75">
      <c r="B96" t="s">
        <v>114</v>
      </c>
    </row>
    <row r="97" ht="12.75">
      <c r="B97" t="s">
        <v>115</v>
      </c>
    </row>
    <row r="99" ht="12.75">
      <c r="B99" t="s">
        <v>116</v>
      </c>
    </row>
    <row r="100" ht="12.75">
      <c r="B100" t="s">
        <v>117</v>
      </c>
    </row>
    <row r="101" ht="12.75">
      <c r="B101" t="s">
        <v>118</v>
      </c>
    </row>
    <row r="102" ht="12.75">
      <c r="B102" t="s">
        <v>119</v>
      </c>
    </row>
  </sheetData>
  <sheetProtection/>
  <printOptions/>
  <pageMargins left="0.75" right="0.75" top="1" bottom="1" header="0" footer="0"/>
  <pageSetup horizontalDpi="600" verticalDpi="600" orientation="portrait" r:id="rId5"/>
  <drawing r:id="rId4"/>
  <legacyDrawing r:id="rId3"/>
  <oleObjects>
    <oleObject progId="Equation.3" shapeId="59432" r:id="rId1"/>
    <oleObject progId="Equation.3" shapeId="594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47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1" width="9.140625" style="0" customWidth="1"/>
    <col min="12" max="18" width="10.28125" style="0" customWidth="1"/>
  </cols>
  <sheetData>
    <row r="1" spans="1:2" ht="12.75">
      <c r="A1" s="21" t="s">
        <v>20</v>
      </c>
      <c r="B1" t="s">
        <v>23</v>
      </c>
    </row>
    <row r="2" ht="12.75">
      <c r="B2" t="s">
        <v>24</v>
      </c>
    </row>
    <row r="3" ht="12.75">
      <c r="B3" t="s">
        <v>25</v>
      </c>
    </row>
    <row r="4" ht="12.75">
      <c r="B4" t="s">
        <v>26</v>
      </c>
    </row>
    <row r="16" ht="12.75">
      <c r="O16" t="str">
        <f>'Viscosity of slurries'!O1</f>
        <v>Rev. cjc. 10.08.2016</v>
      </c>
    </row>
    <row r="19" ht="13.5" thickBot="1"/>
    <row r="20" spans="12:18" ht="12.75">
      <c r="L20" s="55" t="s">
        <v>123</v>
      </c>
      <c r="M20" s="32"/>
      <c r="N20" s="32"/>
      <c r="O20" s="32"/>
      <c r="P20" s="32"/>
      <c r="Q20" s="32"/>
      <c r="R20" s="35"/>
    </row>
    <row r="21" spans="12:18" ht="12.75">
      <c r="L21" s="30"/>
      <c r="M21" s="26"/>
      <c r="N21" s="26"/>
      <c r="O21" s="26"/>
      <c r="P21" s="26"/>
      <c r="Q21" s="26"/>
      <c r="R21" s="36"/>
    </row>
    <row r="22" spans="12:18" ht="15.75">
      <c r="L22" s="28" t="s">
        <v>63</v>
      </c>
      <c r="M22" s="26" t="s">
        <v>74</v>
      </c>
      <c r="N22" s="26"/>
      <c r="O22" s="26"/>
      <c r="P22" s="26"/>
      <c r="Q22" s="26"/>
      <c r="R22" s="36"/>
    </row>
    <row r="23" spans="12:18" ht="15.75">
      <c r="L23" s="29" t="s">
        <v>27</v>
      </c>
      <c r="M23" s="38">
        <v>19</v>
      </c>
      <c r="N23" s="26" t="s">
        <v>18</v>
      </c>
      <c r="O23" s="26"/>
      <c r="P23" s="51" t="s">
        <v>120</v>
      </c>
      <c r="Q23" s="49" t="s">
        <v>66</v>
      </c>
      <c r="R23" s="50"/>
    </row>
    <row r="24" spans="12:18" ht="15.75">
      <c r="L24" s="29" t="s">
        <v>75</v>
      </c>
      <c r="M24" s="27">
        <v>2.5</v>
      </c>
      <c r="N24" s="26"/>
      <c r="O24" s="26"/>
      <c r="P24" s="26"/>
      <c r="Q24" s="26"/>
      <c r="R24" s="36"/>
    </row>
    <row r="25" spans="12:18" ht="15.75">
      <c r="L25" s="29" t="s">
        <v>69</v>
      </c>
      <c r="M25" s="27">
        <v>10.5</v>
      </c>
      <c r="N25" s="26"/>
      <c r="O25" s="26"/>
      <c r="P25" s="26" t="s">
        <v>77</v>
      </c>
      <c r="Q25" s="26"/>
      <c r="R25" s="36"/>
    </row>
    <row r="26" spans="12:18" ht="12.75">
      <c r="L26" s="29" t="s">
        <v>71</v>
      </c>
      <c r="M26" s="27">
        <v>0.00273</v>
      </c>
      <c r="N26" s="26"/>
      <c r="O26" s="26"/>
      <c r="P26" s="26" t="s">
        <v>76</v>
      </c>
      <c r="Q26" s="26"/>
      <c r="R26" s="36"/>
    </row>
    <row r="27" spans="12:18" ht="12.75">
      <c r="L27" s="29" t="s">
        <v>72</v>
      </c>
      <c r="M27" s="27">
        <v>16.6</v>
      </c>
      <c r="N27" s="43"/>
      <c r="O27" s="43"/>
      <c r="P27" s="26" t="s">
        <v>47</v>
      </c>
      <c r="Q27" s="26"/>
      <c r="R27" s="36"/>
    </row>
    <row r="28" spans="12:18" ht="16.5" thickBot="1">
      <c r="L28" s="41" t="s">
        <v>63</v>
      </c>
      <c r="M28" s="42">
        <f>1+M24*(M23/100)+M25*(M23/100)^2+M26*EXP(M27*(M23/100))</f>
        <v>1.9180127964710743</v>
      </c>
      <c r="N28" s="44"/>
      <c r="O28" s="44"/>
      <c r="P28" s="34"/>
      <c r="Q28" s="34"/>
      <c r="R28" s="37"/>
    </row>
    <row r="29" ht="13.5" thickBot="1"/>
    <row r="30" spans="12:18" ht="12.75">
      <c r="L30" s="12" t="s">
        <v>14</v>
      </c>
      <c r="M30" s="2"/>
      <c r="N30" s="2"/>
      <c r="O30" s="2"/>
      <c r="P30" s="57" t="s">
        <v>120</v>
      </c>
      <c r="Q30" s="46" t="s">
        <v>121</v>
      </c>
      <c r="R30" s="35"/>
    </row>
    <row r="31" spans="12:18" ht="15.75">
      <c r="L31" s="28" t="s">
        <v>63</v>
      </c>
      <c r="M31" s="52" t="s">
        <v>122</v>
      </c>
      <c r="N31" s="6"/>
      <c r="O31" s="6"/>
      <c r="P31" s="26"/>
      <c r="Q31" s="56" t="s">
        <v>125</v>
      </c>
      <c r="R31" s="36"/>
    </row>
    <row r="32" spans="12:18" ht="15.75">
      <c r="L32" s="4" t="s">
        <v>12</v>
      </c>
      <c r="M32" s="53">
        <v>19</v>
      </c>
      <c r="N32" s="6" t="s">
        <v>18</v>
      </c>
      <c r="O32" s="6"/>
      <c r="P32" s="58" t="s">
        <v>6</v>
      </c>
      <c r="Q32" s="16">
        <v>20</v>
      </c>
      <c r="R32" s="7" t="s">
        <v>7</v>
      </c>
    </row>
    <row r="33" spans="12:18" ht="16.5" thickBot="1">
      <c r="L33" s="41" t="s">
        <v>63</v>
      </c>
      <c r="M33" s="54">
        <f>EXP(-10.4*(M32/100))/(1-(M32/100)/0.62)^8</f>
        <v>2.589524206578971</v>
      </c>
      <c r="N33" s="18" t="s">
        <v>9</v>
      </c>
      <c r="O33" s="9"/>
      <c r="P33" s="59" t="s">
        <v>124</v>
      </c>
      <c r="Q33" s="60">
        <v>0.0010037700412794948</v>
      </c>
      <c r="R33" s="10" t="s">
        <v>9</v>
      </c>
    </row>
    <row r="34" ht="12.75">
      <c r="O34" s="26"/>
    </row>
    <row r="35" spans="15:18" ht="12.75">
      <c r="O35" s="26"/>
      <c r="P35" s="26"/>
      <c r="Q35" s="26"/>
      <c r="R35" s="26"/>
    </row>
    <row r="36" spans="15:18" ht="12.75">
      <c r="O36" s="26"/>
      <c r="P36" s="26"/>
      <c r="R36" s="26"/>
    </row>
    <row r="37" spans="15:18" ht="12.75">
      <c r="O37" s="26"/>
      <c r="P37" s="26"/>
      <c r="Q37" s="26"/>
      <c r="R37" s="26"/>
    </row>
    <row r="38" spans="15:18" ht="12.75">
      <c r="O38" s="6"/>
      <c r="P38" s="6"/>
      <c r="Q38" s="26"/>
      <c r="R38" s="26"/>
    </row>
    <row r="39" spans="15:18" ht="12.75">
      <c r="O39" s="6"/>
      <c r="P39" s="6"/>
      <c r="Q39" s="26"/>
      <c r="R39" s="26"/>
    </row>
    <row r="40" spans="15:18" ht="12.75">
      <c r="O40" s="26"/>
      <c r="P40" s="26"/>
      <c r="Q40" s="26"/>
      <c r="R40" s="26"/>
    </row>
    <row r="41" spans="15:18" ht="12.75">
      <c r="O41" s="6"/>
      <c r="P41" s="6"/>
      <c r="Q41" s="26"/>
      <c r="R41" s="26"/>
    </row>
    <row r="42" spans="15:17" ht="12.75">
      <c r="O42" s="6"/>
      <c r="P42" s="6"/>
      <c r="Q42" s="26"/>
    </row>
    <row r="43" spans="15:17" ht="12.75">
      <c r="O43" s="6"/>
      <c r="P43" s="6"/>
      <c r="Q43" s="26"/>
    </row>
    <row r="44" spans="15:17" ht="12.75">
      <c r="O44" s="6"/>
      <c r="P44" s="6"/>
      <c r="Q44" s="26"/>
    </row>
    <row r="45" spans="15:17" ht="12.75">
      <c r="O45" s="6"/>
      <c r="P45" s="6"/>
      <c r="Q45" s="26"/>
    </row>
    <row r="46" spans="15:17" ht="12.75">
      <c r="O46" s="6"/>
      <c r="P46" s="6"/>
      <c r="Q46" s="26"/>
    </row>
    <row r="47" spans="15:17" ht="12.75">
      <c r="O47" s="26"/>
      <c r="P47" s="26"/>
      <c r="Q47" s="26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594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Q3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9" width="11.421875" style="67" customWidth="1"/>
    <col min="10" max="10" width="3.8515625" style="67" customWidth="1"/>
    <col min="11" max="16384" width="11.421875" style="67" customWidth="1"/>
  </cols>
  <sheetData>
    <row r="1" spans="1:9" ht="12.75">
      <c r="A1" s="78">
        <v>0</v>
      </c>
      <c r="B1" s="79">
        <v>0.569</v>
      </c>
      <c r="C1" s="80">
        <v>4.217</v>
      </c>
      <c r="D1" s="80">
        <v>12.99</v>
      </c>
      <c r="E1" s="81">
        <v>1000</v>
      </c>
      <c r="F1" s="82">
        <v>0.00175</v>
      </c>
      <c r="G1" s="82">
        <v>1.75E-06</v>
      </c>
      <c r="H1" s="83">
        <v>1.349300450557268E-07</v>
      </c>
      <c r="I1" s="84">
        <v>0.006108006263784397</v>
      </c>
    </row>
    <row r="2" spans="1:9" ht="12.75">
      <c r="A2" s="85">
        <v>1.8500000000000227</v>
      </c>
      <c r="B2" s="86">
        <v>0.574</v>
      </c>
      <c r="C2" s="87">
        <v>4.211</v>
      </c>
      <c r="D2" s="87">
        <v>12.22</v>
      </c>
      <c r="E2" s="88">
        <v>1000</v>
      </c>
      <c r="F2" s="89">
        <v>0.001652</v>
      </c>
      <c r="G2" s="89">
        <v>1.652E-06</v>
      </c>
      <c r="H2" s="90">
        <v>1.363096651626692E-07</v>
      </c>
      <c r="I2" s="91">
        <v>0.006979329861419813</v>
      </c>
    </row>
    <row r="3" spans="1:9" ht="12.75">
      <c r="A3" s="85">
        <v>6.850000000000023</v>
      </c>
      <c r="B3" s="86">
        <v>0.582</v>
      </c>
      <c r="C3" s="87">
        <v>4.198</v>
      </c>
      <c r="D3" s="87">
        <v>10.26</v>
      </c>
      <c r="E3" s="88">
        <v>1000</v>
      </c>
      <c r="F3" s="89">
        <v>0.001422</v>
      </c>
      <c r="G3" s="89">
        <v>1.4220000000000001E-06</v>
      </c>
      <c r="H3" s="90">
        <v>1.3863744640304906E-07</v>
      </c>
      <c r="I3" s="91">
        <v>0.009909238229255038</v>
      </c>
    </row>
    <row r="4" spans="1:9" ht="12.75">
      <c r="A4" s="85">
        <v>11.85</v>
      </c>
      <c r="B4" s="86">
        <v>0.59</v>
      </c>
      <c r="C4" s="87">
        <v>4.189</v>
      </c>
      <c r="D4" s="87">
        <v>8.81</v>
      </c>
      <c r="E4" s="88">
        <v>1000</v>
      </c>
      <c r="F4" s="89">
        <v>0.001225</v>
      </c>
      <c r="G4" s="89">
        <v>1.225E-06</v>
      </c>
      <c r="H4" s="90">
        <v>1.4084507042253522E-07</v>
      </c>
      <c r="I4" s="91">
        <v>0.013876000341309827</v>
      </c>
    </row>
    <row r="5" spans="1:9" ht="12.75">
      <c r="A5" s="85">
        <v>16.85</v>
      </c>
      <c r="B5" s="86">
        <v>0.598</v>
      </c>
      <c r="C5" s="87">
        <v>4.184</v>
      </c>
      <c r="D5" s="87">
        <v>7.56</v>
      </c>
      <c r="E5" s="88">
        <v>999.0009990009991</v>
      </c>
      <c r="F5" s="89">
        <v>0.00108</v>
      </c>
      <c r="G5" s="89">
        <v>1.08108E-06</v>
      </c>
      <c r="H5" s="90">
        <v>1.4306835564053535E-07</v>
      </c>
      <c r="I5" s="91">
        <v>0.019178331441811986</v>
      </c>
    </row>
    <row r="6" spans="1:9" ht="12.75">
      <c r="A6" s="85">
        <v>21.85</v>
      </c>
      <c r="B6" s="86">
        <v>0.606</v>
      </c>
      <c r="C6" s="87">
        <v>4.181</v>
      </c>
      <c r="D6" s="87">
        <v>6.62</v>
      </c>
      <c r="E6" s="88">
        <v>998.003992015968</v>
      </c>
      <c r="F6" s="89">
        <v>0.000959</v>
      </c>
      <c r="G6" s="89">
        <v>9.60918E-07</v>
      </c>
      <c r="H6" s="90">
        <v>1.4523128438172687E-07</v>
      </c>
      <c r="I6" s="91">
        <v>0.026180790527056207</v>
      </c>
    </row>
    <row r="7" spans="1:9" ht="12.75">
      <c r="A7" s="85">
        <v>26.85</v>
      </c>
      <c r="B7" s="86">
        <v>0.613</v>
      </c>
      <c r="C7" s="87">
        <v>4.179</v>
      </c>
      <c r="D7" s="87">
        <v>5.83</v>
      </c>
      <c r="E7" s="88">
        <v>997.0089730807578</v>
      </c>
      <c r="F7" s="89">
        <v>0.000855</v>
      </c>
      <c r="G7" s="89">
        <v>8.575649999999999E-07</v>
      </c>
      <c r="H7" s="90">
        <v>1.4712586743240009E-07</v>
      </c>
      <c r="I7" s="91">
        <v>0.035323425576413346</v>
      </c>
    </row>
    <row r="8" spans="1:9" ht="12.75">
      <c r="A8" s="85">
        <v>31.85</v>
      </c>
      <c r="B8" s="86">
        <v>0.62</v>
      </c>
      <c r="C8" s="87">
        <v>4.178</v>
      </c>
      <c r="D8" s="87">
        <v>5.2</v>
      </c>
      <c r="E8" s="88">
        <v>995.0248756218907</v>
      </c>
      <c r="F8" s="89">
        <v>0.000769</v>
      </c>
      <c r="G8" s="89">
        <v>7.728449999999999E-07</v>
      </c>
      <c r="H8" s="90">
        <v>1.4913834370512205E-07</v>
      </c>
      <c r="I8" s="91">
        <v>0.047131919240408104</v>
      </c>
    </row>
    <row r="9" spans="1:9" ht="12.75">
      <c r="A9" s="85">
        <v>36.85</v>
      </c>
      <c r="B9" s="86">
        <v>0.628</v>
      </c>
      <c r="C9" s="87">
        <v>4.178</v>
      </c>
      <c r="D9" s="87">
        <v>4.62</v>
      </c>
      <c r="E9" s="88">
        <v>993.04865938431</v>
      </c>
      <c r="F9" s="89">
        <v>0.000695</v>
      </c>
      <c r="G9" s="89">
        <v>6.998649999999998E-07</v>
      </c>
      <c r="H9" s="90">
        <v>1.5136333173767352E-07</v>
      </c>
      <c r="I9" s="91">
        <v>0.06222812914932803</v>
      </c>
    </row>
    <row r="10" spans="1:9" ht="12.75">
      <c r="A10" s="85">
        <v>41.85</v>
      </c>
      <c r="B10" s="86">
        <v>0.634</v>
      </c>
      <c r="C10" s="87">
        <v>4.179</v>
      </c>
      <c r="D10" s="87">
        <v>4.16</v>
      </c>
      <c r="E10" s="88">
        <v>991.0802775024778</v>
      </c>
      <c r="F10" s="89">
        <v>0.000631</v>
      </c>
      <c r="G10" s="89">
        <v>6.36679E-07</v>
      </c>
      <c r="H10" s="90">
        <v>1.5307633405120842E-07</v>
      </c>
      <c r="I10" s="91">
        <v>0.08134090579523134</v>
      </c>
    </row>
    <row r="11" spans="1:9" ht="12.75">
      <c r="A11" s="85">
        <v>46.85</v>
      </c>
      <c r="B11" s="86">
        <v>0.64</v>
      </c>
      <c r="C11" s="87">
        <v>4.18</v>
      </c>
      <c r="D11" s="87">
        <v>3.77</v>
      </c>
      <c r="E11" s="88">
        <v>989.1196834817014</v>
      </c>
      <c r="F11" s="89">
        <v>0.000577</v>
      </c>
      <c r="G11" s="89">
        <v>5.77577E-07</v>
      </c>
      <c r="H11" s="90">
        <v>1.5326315789473686E-07</v>
      </c>
      <c r="I11" s="91">
        <v>0.10531706312330934</v>
      </c>
    </row>
    <row r="12" spans="1:9" ht="12.75">
      <c r="A12" s="85">
        <v>51.85</v>
      </c>
      <c r="B12" s="86">
        <v>0.645</v>
      </c>
      <c r="C12" s="87">
        <v>4.182</v>
      </c>
      <c r="D12" s="87">
        <v>3.42</v>
      </c>
      <c r="E12" s="88">
        <v>987.166831194472</v>
      </c>
      <c r="F12" s="89">
        <v>0.000528</v>
      </c>
      <c r="G12" s="89">
        <v>5.348639999999999E-07</v>
      </c>
      <c r="H12" s="90">
        <v>1.5623744619799136E-07</v>
      </c>
      <c r="I12" s="91">
        <v>0.13513237273365142</v>
      </c>
    </row>
    <row r="13" spans="1:9" ht="12.75">
      <c r="A13" s="85">
        <v>56.85</v>
      </c>
      <c r="B13" s="86">
        <v>0.651</v>
      </c>
      <c r="C13" s="87">
        <v>4.184</v>
      </c>
      <c r="D13" s="87">
        <v>3.15</v>
      </c>
      <c r="E13" s="88">
        <v>984.2519685039371</v>
      </c>
      <c r="F13" s="89">
        <v>0.000489</v>
      </c>
      <c r="G13" s="89">
        <v>4.96824E-07</v>
      </c>
      <c r="H13" s="90">
        <v>1.5783938814531548E-07</v>
      </c>
      <c r="I13" s="91">
        <v>0.17190245197227494</v>
      </c>
    </row>
    <row r="14" spans="1:9" ht="12.75">
      <c r="A14" s="85">
        <v>61.85</v>
      </c>
      <c r="B14" s="86">
        <v>0.656</v>
      </c>
      <c r="C14" s="87">
        <v>4.186</v>
      </c>
      <c r="D14" s="87">
        <v>2.88</v>
      </c>
      <c r="E14" s="88">
        <v>982.3182711198428</v>
      </c>
      <c r="F14" s="89">
        <v>0.000453</v>
      </c>
      <c r="G14" s="89">
        <v>4.61154E-07</v>
      </c>
      <c r="H14" s="90">
        <v>1.5953368370759673E-07</v>
      </c>
      <c r="I14" s="91">
        <v>0.21689341906538584</v>
      </c>
    </row>
    <row r="15" spans="1:9" ht="12.75">
      <c r="A15" s="85">
        <v>66.85</v>
      </c>
      <c r="B15" s="86">
        <v>0.66</v>
      </c>
      <c r="C15" s="87">
        <v>4.188</v>
      </c>
      <c r="D15" s="87">
        <v>2.66</v>
      </c>
      <c r="E15" s="88">
        <v>979.4319294809011</v>
      </c>
      <c r="F15" s="89">
        <v>0.00042</v>
      </c>
      <c r="G15" s="89">
        <v>4.2882E-07</v>
      </c>
      <c r="H15" s="90">
        <v>1.6090257879656164E-07</v>
      </c>
      <c r="I15" s="91">
        <v>0.2715321945798864</v>
      </c>
    </row>
    <row r="16" spans="1:9" ht="12.75">
      <c r="A16" s="92">
        <v>71.85</v>
      </c>
      <c r="B16" s="93">
        <v>0.664</v>
      </c>
      <c r="C16" s="87">
        <v>4.191</v>
      </c>
      <c r="D16" s="87">
        <v>2.45</v>
      </c>
      <c r="E16" s="88">
        <v>976.5625</v>
      </c>
      <c r="F16" s="89">
        <v>0.000389</v>
      </c>
      <c r="G16" s="89">
        <v>3.98336E-07</v>
      </c>
      <c r="H16" s="90">
        <v>1.632145072774994E-07</v>
      </c>
      <c r="I16" s="91">
        <v>0.33741633752673394</v>
      </c>
    </row>
    <row r="17" spans="1:9" ht="12.75">
      <c r="A17" s="85">
        <v>76.85</v>
      </c>
      <c r="B17" s="86">
        <v>0.668</v>
      </c>
      <c r="C17" s="87">
        <v>4.195</v>
      </c>
      <c r="D17" s="87">
        <v>2.29</v>
      </c>
      <c r="E17" s="88">
        <v>973.7098344693283</v>
      </c>
      <c r="F17" s="89">
        <v>0.000365</v>
      </c>
      <c r="G17" s="89">
        <v>3.748549999999999E-07</v>
      </c>
      <c r="H17" s="90">
        <v>1.6353659117997615E-07</v>
      </c>
      <c r="I17" s="91">
        <v>0.41632331593192085</v>
      </c>
    </row>
    <row r="18" spans="1:9" ht="12.75">
      <c r="A18" s="85">
        <v>81.85</v>
      </c>
      <c r="B18" s="86">
        <v>0.671</v>
      </c>
      <c r="C18" s="87">
        <v>4.199</v>
      </c>
      <c r="D18" s="87">
        <v>2.14</v>
      </c>
      <c r="E18" s="88">
        <v>970.8737864077669</v>
      </c>
      <c r="F18" s="89">
        <v>0.000343</v>
      </c>
      <c r="G18" s="89">
        <v>3.5329E-07</v>
      </c>
      <c r="H18" s="90">
        <v>1.6459395094070018E-07</v>
      </c>
      <c r="I18" s="91">
        <v>0.5102191251968057</v>
      </c>
    </row>
    <row r="19" spans="1:9" ht="12.75">
      <c r="A19" s="85">
        <v>86.85</v>
      </c>
      <c r="B19" s="86">
        <v>0.674</v>
      </c>
      <c r="C19" s="87">
        <v>4.203</v>
      </c>
      <c r="D19" s="87">
        <v>2.02</v>
      </c>
      <c r="E19" s="88">
        <v>967.1179883945841</v>
      </c>
      <c r="F19" s="89">
        <v>0.000324</v>
      </c>
      <c r="G19" s="89">
        <v>3.3501600000000004E-07</v>
      </c>
      <c r="H19" s="90">
        <v>1.6581394242207946E-07</v>
      </c>
      <c r="I19" s="91">
        <v>0.6212661825396458</v>
      </c>
    </row>
    <row r="20" spans="1:9" ht="12.75">
      <c r="A20" s="85">
        <v>91.85</v>
      </c>
      <c r="B20" s="86">
        <v>0.677</v>
      </c>
      <c r="C20" s="87">
        <v>4.209</v>
      </c>
      <c r="D20" s="87">
        <v>1.91</v>
      </c>
      <c r="E20" s="88">
        <v>963.3911368015414</v>
      </c>
      <c r="F20" s="89">
        <v>0.000306</v>
      </c>
      <c r="G20" s="89">
        <v>3.17628E-07</v>
      </c>
      <c r="H20" s="90">
        <v>1.669579472558803E-07</v>
      </c>
      <c r="I20" s="91">
        <v>0.7518304417299169</v>
      </c>
    </row>
    <row r="21" spans="1:9" ht="12.75">
      <c r="A21" s="85">
        <v>96.85</v>
      </c>
      <c r="B21" s="86">
        <v>0.679</v>
      </c>
      <c r="C21" s="87">
        <v>4.214</v>
      </c>
      <c r="D21" s="87">
        <v>1.8</v>
      </c>
      <c r="E21" s="88">
        <v>960.6147934678196</v>
      </c>
      <c r="F21" s="89">
        <v>0.000289</v>
      </c>
      <c r="G21" s="89">
        <v>3.008489999999999E-07</v>
      </c>
      <c r="H21" s="90">
        <v>1.6773588039867107E-07</v>
      </c>
      <c r="I21" s="91">
        <v>0.9044876886863782</v>
      </c>
    </row>
    <row r="22" spans="1:9" ht="13.5" thickBot="1">
      <c r="A22" s="94">
        <v>100</v>
      </c>
      <c r="B22" s="95">
        <v>0.68</v>
      </c>
      <c r="C22" s="96">
        <v>4.217</v>
      </c>
      <c r="D22" s="96">
        <v>1.76</v>
      </c>
      <c r="E22" s="97">
        <v>957.8544061302682</v>
      </c>
      <c r="F22" s="98">
        <v>0.000279</v>
      </c>
      <c r="G22" s="98">
        <v>2.91276E-07</v>
      </c>
      <c r="H22" s="99">
        <v>1.6834716623191845E-07</v>
      </c>
      <c r="I22" s="100">
        <v>1.013252619713624</v>
      </c>
    </row>
    <row r="23" spans="5:17" s="101" customFormat="1" ht="13.5" thickBot="1">
      <c r="E23" s="102"/>
      <c r="J23" s="67"/>
      <c r="K23" s="67"/>
      <c r="L23" s="67"/>
      <c r="M23" s="67"/>
      <c r="N23" s="67"/>
      <c r="O23" s="67"/>
      <c r="P23" s="67"/>
      <c r="Q23" s="67"/>
    </row>
    <row r="24" spans="1:9" ht="15">
      <c r="A24" s="103" t="s">
        <v>141</v>
      </c>
      <c r="B24" s="104" t="s">
        <v>142</v>
      </c>
      <c r="C24" s="104" t="s">
        <v>143</v>
      </c>
      <c r="D24" s="104" t="s">
        <v>144</v>
      </c>
      <c r="E24" s="105" t="s">
        <v>145</v>
      </c>
      <c r="F24" s="105" t="s">
        <v>146</v>
      </c>
      <c r="G24" s="105" t="s">
        <v>147</v>
      </c>
      <c r="H24" s="106" t="s">
        <v>148</v>
      </c>
      <c r="I24" s="107" t="s">
        <v>149</v>
      </c>
    </row>
    <row r="25" spans="1:10" ht="15">
      <c r="A25" s="108" t="s">
        <v>139</v>
      </c>
      <c r="B25" s="109" t="s">
        <v>140</v>
      </c>
      <c r="C25" s="109" t="s">
        <v>150</v>
      </c>
      <c r="D25" s="109" t="s">
        <v>151</v>
      </c>
      <c r="E25" s="109" t="s">
        <v>152</v>
      </c>
      <c r="F25" s="109" t="s">
        <v>9</v>
      </c>
      <c r="G25" s="109" t="s">
        <v>153</v>
      </c>
      <c r="H25" s="110" t="s">
        <v>153</v>
      </c>
      <c r="I25" s="111" t="s">
        <v>154</v>
      </c>
      <c r="J25" s="67" t="s">
        <v>155</v>
      </c>
    </row>
    <row r="26" spans="1:9" ht="12.75">
      <c r="A26" s="29"/>
      <c r="B26" s="27"/>
      <c r="C26" s="27"/>
      <c r="D26" s="27"/>
      <c r="E26" s="27"/>
      <c r="F26" s="27"/>
      <c r="G26" s="27"/>
      <c r="H26" s="27"/>
      <c r="I26" s="112"/>
    </row>
    <row r="27" spans="1:9" ht="13.5" thickBot="1">
      <c r="A27" s="113" t="s">
        <v>156</v>
      </c>
      <c r="B27" s="114"/>
      <c r="C27" s="114"/>
      <c r="D27" s="114"/>
      <c r="E27" s="114"/>
      <c r="F27" s="114"/>
      <c r="G27" s="114"/>
      <c r="H27" s="114"/>
      <c r="I27" s="115"/>
    </row>
    <row r="29" ht="12.75">
      <c r="A29" s="27"/>
    </row>
    <row r="30" ht="12.75">
      <c r="A30" s="27"/>
    </row>
    <row r="31" ht="12.75">
      <c r="A31" s="27"/>
    </row>
    <row r="32" spans="1:8" ht="12.75">
      <c r="A32" s="27"/>
      <c r="H32" s="67" t="s">
        <v>55</v>
      </c>
    </row>
    <row r="33" spans="1:2" ht="12.75">
      <c r="A33" s="116"/>
      <c r="B33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2:C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t="s">
        <v>20</v>
      </c>
      <c r="C2" t="s">
        <v>21</v>
      </c>
    </row>
    <row r="3" ht="12.75">
      <c r="C3" t="s">
        <v>22</v>
      </c>
    </row>
    <row r="6" spans="2:3" ht="12.75">
      <c r="B6" t="s">
        <v>51</v>
      </c>
      <c r="C6" t="s">
        <v>52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dvAspect="DVASPECT_ICON" shapeId="594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2007-12-12T17:05:41Z</dcterms:created>
  <dcterms:modified xsi:type="dcterms:W3CDTF">2016-08-10T16:32:16Z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